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hisWorkbook" defaultThemeVersion="166925"/>
  <xr:revisionPtr revIDLastSave="0" documentId="13_ncr:1_{4D7B4884-F594-46CA-8D9F-A294E857BFB5}" xr6:coauthVersionLast="36" xr6:coauthVersionMax="36" xr10:uidLastSave="{00000000-0000-0000-0000-000000000000}"/>
  <bookViews>
    <workbookView xWindow="0" yWindow="0" windowWidth="18270" windowHeight="7260" tabRatio="853" firstSheet="2" activeTab="34" xr2:uid="{00000000-000D-0000-FFFF-FFFF00000000}"/>
  </bookViews>
  <sheets>
    <sheet name="Sheet3" sheetId="72" state="hidden" r:id="rId1"/>
    <sheet name="Sheet2" sheetId="71" state="hidden" r:id="rId2"/>
    <sheet name="Aneksi nr.1" sheetId="35" r:id="rId3"/>
    <sheet name="Aneksi 1.2" sheetId="37" r:id="rId4"/>
    <sheet name="Aneksi nr.1.1" sheetId="36" r:id="rId5"/>
    <sheet name="Sheet4" sheetId="73" state="hidden" r:id="rId6"/>
    <sheet name="Aneksi 2.0 Planif" sheetId="39" r:id="rId7"/>
    <sheet name="Aneksi 2.0 Forcat e Luftimit" sheetId="38" r:id="rId8"/>
    <sheet name="123" sheetId="7" state="hidden" r:id="rId9"/>
    <sheet name="Aneksi 2.0 MBSHT.LUFTIMIT" sheetId="74" r:id="rId10"/>
    <sheet name="Aneksi 2.0 Mbësht .Shëndetësinë" sheetId="41" r:id="rId11"/>
    <sheet name="Aneksi 2.0 Arsimi Ushtarak" sheetId="6" r:id="rId12"/>
    <sheet name="Aneksi 2.0 Mbeshtet. Ushtaraket" sheetId="5" r:id="rId13"/>
    <sheet name="Aneksi 2.0 Emergjencat Civile" sheetId="40" r:id="rId14"/>
    <sheet name="Aneksi 2.1 Planif" sheetId="10" r:id="rId15"/>
    <sheet name="Aneksi 2.1 Forcat e Luftimit" sheetId="13" r:id="rId16"/>
    <sheet name="Aneksi 2.1 MBSHT.LUFTIMIT" sheetId="14" r:id="rId17"/>
    <sheet name="Aneksi 2.1 Mbësht .Shëndetësinë" sheetId="11" r:id="rId18"/>
    <sheet name="Aneksi 2.1 Arsimi Ushtarak" sheetId="46" r:id="rId19"/>
    <sheet name="Aneksi 2.1 Mbeshtet. Ushtaraket" sheetId="12" r:id="rId20"/>
    <sheet name="Aneksi 2.1 Emergjencat Civile" sheetId="43" r:id="rId21"/>
    <sheet name="Aneksi 3 Planif" sheetId="96" r:id="rId22"/>
    <sheet name="Aneksi 3 Forcat e Luftimit" sheetId="77" r:id="rId23"/>
    <sheet name="Aneksi 3 MBSHT.LUFTIMIT" sheetId="78" r:id="rId24"/>
    <sheet name="Aneksi 3  Mbësht .Shëndetësinë" sheetId="79" r:id="rId25"/>
    <sheet name="Aneksi 3 Arsimi Ushtarak" sheetId="80" r:id="rId26"/>
    <sheet name="Aneksi 3 Mbeshtet. Ushtaraket" sheetId="81" r:id="rId27"/>
    <sheet name="Aneksi 3 Emergjencat Civile" sheetId="82" r:id="rId28"/>
    <sheet name="Aneksi 3.1 Planif" sheetId="95" r:id="rId29"/>
    <sheet name="Aneksi 3.1 Forcat e Luftimit" sheetId="92" r:id="rId30"/>
    <sheet name="Aneksi 3.1MBSHT.LUFTIMIT" sheetId="94" r:id="rId31"/>
    <sheet name="Aneksi 3.1 Arsimi Ushtarak" sheetId="100" r:id="rId32"/>
    <sheet name="Aneksi 3.1 Mbësht.Shëndetësinë" sheetId="101" r:id="rId33"/>
    <sheet name="Aneksi 3.1Mbeshtet. Ushtaraket" sheetId="98" r:id="rId34"/>
    <sheet name="Aneksi 3.1 Emergjencat Civile" sheetId="99" r:id="rId35"/>
  </sheets>
  <externalReferences>
    <externalReference r:id="rId36"/>
    <externalReference r:id="rId37"/>
  </externalReferences>
  <definedNames>
    <definedName name="JR_PAGE_ANCHOR_0_1">#REF!</definedName>
  </definedNames>
  <calcPr calcId="191029"/>
</workbook>
</file>

<file path=xl/calcChain.xml><?xml version="1.0" encoding="utf-8"?>
<calcChain xmlns="http://schemas.openxmlformats.org/spreadsheetml/2006/main">
  <c r="Q26" i="36" l="1"/>
  <c r="P42" i="77"/>
  <c r="P44" i="77"/>
  <c r="P49" i="77"/>
  <c r="J27" i="95" l="1"/>
  <c r="N30" i="5"/>
  <c r="M20" i="5"/>
  <c r="M21" i="5"/>
  <c r="M19" i="5"/>
  <c r="I40" i="35"/>
  <c r="N40" i="35" s="1"/>
  <c r="S15" i="43"/>
  <c r="T15" i="43"/>
  <c r="U21" i="43"/>
  <c r="S16" i="43"/>
  <c r="S17" i="43"/>
  <c r="S18" i="43"/>
  <c r="S19" i="43"/>
  <c r="S20" i="43"/>
  <c r="U22" i="43"/>
  <c r="U18" i="46"/>
  <c r="U17" i="46"/>
  <c r="T18" i="11"/>
  <c r="T17" i="11"/>
  <c r="T17" i="14"/>
  <c r="T21" i="13"/>
  <c r="T22" i="10"/>
  <c r="T22" i="13"/>
  <c r="K19" i="46"/>
  <c r="I10" i="98"/>
  <c r="L17" i="43"/>
  <c r="L18" i="43"/>
  <c r="O61" i="82"/>
  <c r="N13" i="81"/>
  <c r="K12" i="81"/>
  <c r="N12" i="81" s="1"/>
  <c r="K13" i="81"/>
  <c r="M13" i="81" s="1"/>
  <c r="K14" i="81"/>
  <c r="N14" i="81" s="1"/>
  <c r="K15" i="81"/>
  <c r="M15" i="81" s="1"/>
  <c r="K11" i="81"/>
  <c r="N11" i="81" s="1"/>
  <c r="M14" i="81"/>
  <c r="M11" i="81"/>
  <c r="M12" i="81" l="1"/>
  <c r="N15" i="81"/>
  <c r="L7" i="43"/>
  <c r="L15" i="43" s="1"/>
  <c r="L8" i="43"/>
  <c r="L16" i="43" s="1"/>
  <c r="U27" i="100"/>
  <c r="P27" i="100"/>
  <c r="O27" i="100"/>
  <c r="N27" i="100"/>
  <c r="U25" i="100"/>
  <c r="P25" i="100"/>
  <c r="O25" i="100"/>
  <c r="N25" i="100"/>
  <c r="M25" i="100"/>
  <c r="K25" i="100" s="1"/>
  <c r="K24" i="100"/>
  <c r="K23" i="100"/>
  <c r="K22" i="100"/>
  <c r="K21" i="100"/>
  <c r="K20" i="100"/>
  <c r="K19" i="100"/>
  <c r="K18" i="100"/>
  <c r="K17" i="100"/>
  <c r="K16" i="100"/>
  <c r="M15" i="100"/>
  <c r="M27" i="100" s="1"/>
  <c r="M14" i="100"/>
  <c r="M13" i="100"/>
  <c r="M11" i="100"/>
  <c r="M26" i="100" s="1"/>
  <c r="M10" i="100"/>
  <c r="K9" i="100"/>
  <c r="U8" i="100"/>
  <c r="U26" i="100" s="1"/>
  <c r="P8" i="100"/>
  <c r="P26" i="100" s="1"/>
  <c r="O8" i="100"/>
  <c r="O26" i="100" s="1"/>
  <c r="N8" i="100"/>
  <c r="N26" i="100" s="1"/>
  <c r="K7" i="100"/>
  <c r="K27" i="100" l="1"/>
  <c r="K8" i="100"/>
  <c r="K26" i="100"/>
  <c r="L24" i="101" l="1"/>
  <c r="M24" i="101"/>
  <c r="L22" i="101"/>
  <c r="M22" i="101"/>
  <c r="L23" i="101"/>
  <c r="M23" i="101"/>
  <c r="L21" i="101"/>
  <c r="M21" i="101"/>
  <c r="N21" i="101"/>
  <c r="O21" i="101"/>
  <c r="P21" i="101"/>
  <c r="Q21" i="101"/>
  <c r="R21" i="101"/>
  <c r="S21" i="101"/>
  <c r="T21" i="101"/>
  <c r="T20" i="101"/>
  <c r="S20" i="101"/>
  <c r="R20" i="101"/>
  <c r="Q20" i="101"/>
  <c r="P20" i="101"/>
  <c r="O20" i="101"/>
  <c r="N20" i="101"/>
  <c r="M20" i="101"/>
  <c r="T19" i="101"/>
  <c r="S19" i="101"/>
  <c r="R19" i="101"/>
  <c r="Q19" i="101"/>
  <c r="P19" i="101"/>
  <c r="O19" i="101"/>
  <c r="N19" i="101"/>
  <c r="M19" i="101"/>
  <c r="K18" i="101"/>
  <c r="K17" i="101"/>
  <c r="K16" i="101"/>
  <c r="K15" i="101"/>
  <c r="K14" i="101"/>
  <c r="K13" i="101"/>
  <c r="K12" i="101"/>
  <c r="K24" i="101" s="1"/>
  <c r="K11" i="101"/>
  <c r="K23" i="101" s="1"/>
  <c r="K10" i="101"/>
  <c r="K9" i="101"/>
  <c r="K21" i="101" s="1"/>
  <c r="K8" i="101"/>
  <c r="K7" i="101"/>
  <c r="O11" i="79"/>
  <c r="M18" i="10"/>
  <c r="L18" i="10"/>
  <c r="K17" i="13"/>
  <c r="K16" i="13"/>
  <c r="K15" i="13"/>
  <c r="K22" i="101" l="1"/>
  <c r="K19" i="101"/>
  <c r="K20" i="101"/>
  <c r="K19" i="13"/>
  <c r="O18" i="79" l="1"/>
  <c r="F16" i="79"/>
  <c r="F18" i="79" s="1"/>
  <c r="O15" i="79"/>
  <c r="L15" i="79"/>
  <c r="I15" i="79"/>
  <c r="M14" i="79"/>
  <c r="J14" i="79"/>
  <c r="P13" i="79"/>
  <c r="R13" i="79" s="1"/>
  <c r="M13" i="79"/>
  <c r="J13" i="79"/>
  <c r="E13" i="79"/>
  <c r="M12" i="79"/>
  <c r="J12" i="79"/>
  <c r="F12" i="79"/>
  <c r="F15" i="79" s="1"/>
  <c r="P11" i="79"/>
  <c r="M11" i="79"/>
  <c r="J11" i="79"/>
  <c r="S16" i="11"/>
  <c r="R16" i="11"/>
  <c r="Q16" i="11"/>
  <c r="P16" i="11"/>
  <c r="O16" i="11"/>
  <c r="N16" i="11"/>
  <c r="M16" i="11"/>
  <c r="L16" i="11"/>
  <c r="S15" i="11"/>
  <c r="R15" i="11"/>
  <c r="Q15" i="11"/>
  <c r="P15" i="11"/>
  <c r="O15" i="11"/>
  <c r="N15" i="11"/>
  <c r="M15" i="11"/>
  <c r="L15" i="11"/>
  <c r="T14" i="11"/>
  <c r="T13" i="11"/>
  <c r="T12" i="11"/>
  <c r="T11" i="11"/>
  <c r="T10" i="11"/>
  <c r="T9" i="11"/>
  <c r="T8" i="11"/>
  <c r="T7" i="11"/>
  <c r="T16" i="11" l="1"/>
  <c r="T15" i="11"/>
  <c r="S11" i="79"/>
  <c r="S13" i="79"/>
  <c r="Q11" i="79"/>
  <c r="R11" i="79"/>
  <c r="Q13" i="79"/>
  <c r="S18" i="13"/>
  <c r="R18" i="13"/>
  <c r="Q18" i="13"/>
  <c r="P18" i="13"/>
  <c r="O18" i="13"/>
  <c r="N18" i="13"/>
  <c r="M18" i="13"/>
  <c r="L18" i="13"/>
  <c r="K18" i="13"/>
  <c r="R17" i="13"/>
  <c r="Q17" i="13"/>
  <c r="P17" i="13"/>
  <c r="O17" i="13"/>
  <c r="N17" i="13"/>
  <c r="M17" i="13"/>
  <c r="L17" i="13"/>
  <c r="K20" i="13"/>
  <c r="R16" i="13"/>
  <c r="Q16" i="13"/>
  <c r="P16" i="13"/>
  <c r="O16" i="13"/>
  <c r="N16" i="13"/>
  <c r="M16" i="13"/>
  <c r="L16" i="13"/>
  <c r="S15" i="13"/>
  <c r="R15" i="13"/>
  <c r="Q15" i="13"/>
  <c r="P15" i="13"/>
  <c r="O15" i="13"/>
  <c r="N15" i="13"/>
  <c r="M15" i="13"/>
  <c r="L15" i="13"/>
  <c r="T14" i="13"/>
  <c r="T13" i="13"/>
  <c r="T12" i="13"/>
  <c r="T11" i="13"/>
  <c r="T10" i="13"/>
  <c r="T9" i="13"/>
  <c r="T8" i="13"/>
  <c r="T7" i="13"/>
  <c r="S19" i="13" l="1"/>
  <c r="S22" i="13" s="1"/>
  <c r="N20" i="13"/>
  <c r="L19" i="13"/>
  <c r="T17" i="13"/>
  <c r="T18" i="13"/>
  <c r="T15" i="13"/>
  <c r="M19" i="13"/>
  <c r="L20" i="13"/>
  <c r="N19" i="13"/>
  <c r="M20" i="13"/>
  <c r="R19" i="13"/>
  <c r="R22" i="13" s="1"/>
  <c r="R20" i="13"/>
  <c r="T16" i="13"/>
  <c r="T19" i="13" l="1"/>
  <c r="T20" i="13"/>
  <c r="J15" i="14"/>
  <c r="T13" i="14"/>
  <c r="T12" i="14"/>
  <c r="T11" i="14"/>
  <c r="R9" i="14"/>
  <c r="R15" i="14" s="1"/>
  <c r="N9" i="14"/>
  <c r="N15" i="14" s="1"/>
  <c r="M9" i="14"/>
  <c r="M15" i="14" s="1"/>
  <c r="L9" i="14"/>
  <c r="L15" i="14" s="1"/>
  <c r="K9" i="14"/>
  <c r="K15" i="14" s="1"/>
  <c r="T8" i="14"/>
  <c r="R7" i="14"/>
  <c r="N7" i="14"/>
  <c r="M7" i="14"/>
  <c r="L7" i="14"/>
  <c r="K7" i="14"/>
  <c r="T16" i="14" l="1"/>
  <c r="T7" i="14"/>
  <c r="T15" i="14"/>
  <c r="T9" i="14"/>
  <c r="N16" i="10" l="1"/>
  <c r="O16" i="10"/>
  <c r="P16" i="10"/>
  <c r="Q16" i="10"/>
  <c r="R16" i="10"/>
  <c r="S16" i="10"/>
  <c r="N17" i="10"/>
  <c r="O17" i="10"/>
  <c r="P17" i="10"/>
  <c r="Q17" i="10"/>
  <c r="R17" i="10"/>
  <c r="S17" i="10"/>
  <c r="N18" i="10"/>
  <c r="O18" i="10"/>
  <c r="P18" i="10"/>
  <c r="Q18" i="10"/>
  <c r="R18" i="10"/>
  <c r="S18" i="10"/>
  <c r="M17" i="10"/>
  <c r="M16" i="10"/>
  <c r="U132" i="99"/>
  <c r="T132" i="99"/>
  <c r="S132" i="99"/>
  <c r="P132" i="99"/>
  <c r="O132" i="99"/>
  <c r="N132" i="99"/>
  <c r="M132" i="99"/>
  <c r="U131" i="99"/>
  <c r="T131" i="99"/>
  <c r="S131" i="99"/>
  <c r="P131" i="99"/>
  <c r="O131" i="99"/>
  <c r="N131" i="99"/>
  <c r="U130" i="99"/>
  <c r="T130" i="99"/>
  <c r="S130" i="99"/>
  <c r="P130" i="99"/>
  <c r="O130" i="99"/>
  <c r="N130" i="99"/>
  <c r="K129" i="99"/>
  <c r="K128" i="99"/>
  <c r="K127" i="99"/>
  <c r="K126" i="99"/>
  <c r="K125" i="99"/>
  <c r="K124" i="99"/>
  <c r="K123" i="99"/>
  <c r="K122" i="99"/>
  <c r="K121" i="99"/>
  <c r="K120" i="99"/>
  <c r="K119" i="99"/>
  <c r="K118" i="99"/>
  <c r="K117" i="99"/>
  <c r="K116" i="99"/>
  <c r="K115" i="99"/>
  <c r="K114" i="99"/>
  <c r="K113" i="99"/>
  <c r="K112" i="99"/>
  <c r="K111" i="99"/>
  <c r="K110" i="99"/>
  <c r="K109" i="99"/>
  <c r="K108" i="99"/>
  <c r="K107" i="99"/>
  <c r="K106" i="99"/>
  <c r="K105" i="99"/>
  <c r="K104" i="99"/>
  <c r="K103" i="99"/>
  <c r="K102" i="99"/>
  <c r="K101" i="99"/>
  <c r="K100" i="99"/>
  <c r="K99" i="99"/>
  <c r="K98" i="99"/>
  <c r="K97" i="99"/>
  <c r="K96" i="99"/>
  <c r="K95" i="99"/>
  <c r="K94" i="99"/>
  <c r="K93" i="99"/>
  <c r="K92" i="99"/>
  <c r="K91" i="99"/>
  <c r="K90" i="99"/>
  <c r="K89" i="99"/>
  <c r="K88" i="99"/>
  <c r="K87" i="99"/>
  <c r="K86" i="99"/>
  <c r="K85" i="99"/>
  <c r="K84" i="99"/>
  <c r="K83" i="99"/>
  <c r="K82" i="99"/>
  <c r="K81" i="99"/>
  <c r="K80" i="99"/>
  <c r="K79" i="99"/>
  <c r="K78" i="99"/>
  <c r="K77" i="99"/>
  <c r="K76" i="99"/>
  <c r="K75" i="99"/>
  <c r="K74" i="99"/>
  <c r="K73" i="99"/>
  <c r="K72" i="99"/>
  <c r="K71" i="99"/>
  <c r="K70" i="99"/>
  <c r="K69" i="99"/>
  <c r="K68" i="99"/>
  <c r="K67" i="99"/>
  <c r="K66" i="99"/>
  <c r="K65" i="99"/>
  <c r="K64" i="99"/>
  <c r="K63" i="99"/>
  <c r="K62" i="99"/>
  <c r="K61" i="99"/>
  <c r="K60" i="99"/>
  <c r="K59" i="99"/>
  <c r="K58" i="99"/>
  <c r="K57" i="99"/>
  <c r="K56" i="99"/>
  <c r="K55" i="99"/>
  <c r="K54" i="99"/>
  <c r="K53" i="99"/>
  <c r="K52" i="99"/>
  <c r="K51" i="99"/>
  <c r="K50" i="99"/>
  <c r="K49" i="99"/>
  <c r="K48" i="99"/>
  <c r="K47" i="99"/>
  <c r="K46" i="99"/>
  <c r="K45" i="99"/>
  <c r="K44" i="99"/>
  <c r="K43" i="99"/>
  <c r="K42" i="99"/>
  <c r="K41" i="99"/>
  <c r="K40" i="99"/>
  <c r="K39" i="99"/>
  <c r="K38" i="99"/>
  <c r="K37" i="99"/>
  <c r="K36" i="99"/>
  <c r="K35" i="99"/>
  <c r="K34" i="99"/>
  <c r="K33" i="99"/>
  <c r="K32" i="99"/>
  <c r="K31" i="99"/>
  <c r="K30" i="99"/>
  <c r="K29" i="99"/>
  <c r="K28" i="99"/>
  <c r="K27" i="99"/>
  <c r="K26" i="99"/>
  <c r="K25" i="99"/>
  <c r="K24" i="99"/>
  <c r="K23" i="99"/>
  <c r="K22" i="99"/>
  <c r="K21" i="99"/>
  <c r="K20" i="99"/>
  <c r="K19" i="99"/>
  <c r="K18" i="99"/>
  <c r="K17" i="99"/>
  <c r="K16" i="99"/>
  <c r="K15" i="99"/>
  <c r="K14" i="99"/>
  <c r="K13" i="99"/>
  <c r="K12" i="99"/>
  <c r="K11" i="99"/>
  <c r="K10" i="99"/>
  <c r="K9" i="99"/>
  <c r="K8" i="99"/>
  <c r="K7" i="99"/>
  <c r="S21" i="10" l="1"/>
  <c r="R21" i="10"/>
  <c r="Q21" i="10"/>
  <c r="K132" i="99"/>
  <c r="M130" i="99"/>
  <c r="K130" i="99" s="1"/>
  <c r="M131" i="99"/>
  <c r="K131" i="99" s="1"/>
  <c r="N21" i="10"/>
  <c r="P21" i="10"/>
  <c r="O21" i="10"/>
  <c r="M20" i="10"/>
  <c r="M21" i="10"/>
  <c r="L61" i="82"/>
  <c r="F61" i="82"/>
  <c r="P60" i="82"/>
  <c r="M60" i="82"/>
  <c r="J60" i="82"/>
  <c r="G60" i="82"/>
  <c r="P59" i="82"/>
  <c r="M59" i="82"/>
  <c r="J59" i="82"/>
  <c r="G59" i="82"/>
  <c r="P58" i="82"/>
  <c r="M58" i="82"/>
  <c r="J58" i="82"/>
  <c r="G58" i="82"/>
  <c r="P57" i="82"/>
  <c r="M57" i="82"/>
  <c r="J57" i="82"/>
  <c r="G57" i="82"/>
  <c r="P56" i="82"/>
  <c r="M56" i="82"/>
  <c r="J56" i="82"/>
  <c r="G56" i="82"/>
  <c r="P55" i="82"/>
  <c r="M55" i="82"/>
  <c r="J55" i="82"/>
  <c r="G55" i="82"/>
  <c r="M54" i="82"/>
  <c r="J54" i="82"/>
  <c r="G54" i="82"/>
  <c r="M53" i="82"/>
  <c r="J53" i="82"/>
  <c r="G53" i="82"/>
  <c r="M52" i="82"/>
  <c r="J52" i="82"/>
  <c r="I52" i="82"/>
  <c r="I61" i="82" s="1"/>
  <c r="G52" i="82"/>
  <c r="M51" i="82"/>
  <c r="J51" i="82"/>
  <c r="G51" i="82"/>
  <c r="M50" i="82"/>
  <c r="J50" i="82"/>
  <c r="G50" i="82"/>
  <c r="M49" i="82"/>
  <c r="J49" i="82"/>
  <c r="G49" i="82"/>
  <c r="M48" i="82"/>
  <c r="J48" i="82"/>
  <c r="G48" i="82"/>
  <c r="M47" i="82"/>
  <c r="J47" i="82"/>
  <c r="G47" i="82"/>
  <c r="P46" i="82"/>
  <c r="M46" i="82"/>
  <c r="J46" i="82"/>
  <c r="G46" i="82"/>
  <c r="M45" i="82"/>
  <c r="J45" i="82"/>
  <c r="G45" i="82"/>
  <c r="P44" i="82"/>
  <c r="M44" i="82"/>
  <c r="J44" i="82"/>
  <c r="G44" i="82"/>
  <c r="M43" i="82"/>
  <c r="J43" i="82"/>
  <c r="G43" i="82"/>
  <c r="M42" i="82"/>
  <c r="J42" i="82"/>
  <c r="G42" i="82"/>
  <c r="M41" i="82"/>
  <c r="J41" i="82"/>
  <c r="G41" i="82"/>
  <c r="M40" i="82"/>
  <c r="J40" i="82"/>
  <c r="G40" i="82"/>
  <c r="M39" i="82"/>
  <c r="J39" i="82"/>
  <c r="G39" i="82"/>
  <c r="M38" i="82"/>
  <c r="J38" i="82"/>
  <c r="G38" i="82"/>
  <c r="M37" i="82"/>
  <c r="J37" i="82"/>
  <c r="G37" i="82"/>
  <c r="M36" i="82"/>
  <c r="J36" i="82"/>
  <c r="G36" i="82"/>
  <c r="M35" i="82"/>
  <c r="J35" i="82"/>
  <c r="G35" i="82"/>
  <c r="M34" i="82"/>
  <c r="J34" i="82"/>
  <c r="G34" i="82"/>
  <c r="P33" i="82"/>
  <c r="M33" i="82"/>
  <c r="J33" i="82"/>
  <c r="G33" i="82"/>
  <c r="P32" i="82"/>
  <c r="M32" i="82"/>
  <c r="J32" i="82"/>
  <c r="G32" i="82"/>
  <c r="M31" i="82"/>
  <c r="J31" i="82"/>
  <c r="G31" i="82"/>
  <c r="M30" i="82"/>
  <c r="J30" i="82"/>
  <c r="G30" i="82"/>
  <c r="M29" i="82"/>
  <c r="J29" i="82"/>
  <c r="G29" i="82"/>
  <c r="M28" i="82"/>
  <c r="J28" i="82"/>
  <c r="G28" i="82"/>
  <c r="M27" i="82"/>
  <c r="J27" i="82"/>
  <c r="G27" i="82"/>
  <c r="P26" i="82"/>
  <c r="M26" i="82"/>
  <c r="J26" i="82"/>
  <c r="G26" i="82"/>
  <c r="M25" i="82"/>
  <c r="J25" i="82"/>
  <c r="G25" i="82"/>
  <c r="M24" i="82"/>
  <c r="J24" i="82"/>
  <c r="G24" i="82"/>
  <c r="M23" i="82"/>
  <c r="J23" i="82"/>
  <c r="G23" i="82"/>
  <c r="M22" i="82"/>
  <c r="J22" i="82"/>
  <c r="G22" i="82"/>
  <c r="G21" i="82"/>
  <c r="G20" i="82"/>
  <c r="G19" i="82"/>
  <c r="G18" i="82"/>
  <c r="G17" i="82"/>
  <c r="G16" i="82"/>
  <c r="G15" i="82"/>
  <c r="G14" i="82"/>
  <c r="G13" i="82"/>
  <c r="P12" i="82"/>
  <c r="M12" i="82"/>
  <c r="J12" i="82"/>
  <c r="G12" i="82"/>
  <c r="P11" i="82"/>
  <c r="M11" i="82"/>
  <c r="J11" i="82"/>
  <c r="G11" i="82"/>
  <c r="R20" i="43" l="1"/>
  <c r="Q20" i="43"/>
  <c r="P20" i="43"/>
  <c r="O20" i="43"/>
  <c r="N20" i="43"/>
  <c r="M20" i="43"/>
  <c r="L20" i="43"/>
  <c r="R19" i="43"/>
  <c r="Q19" i="43"/>
  <c r="P19" i="43"/>
  <c r="O19" i="43"/>
  <c r="N19" i="43"/>
  <c r="M19" i="43"/>
  <c r="L19" i="43"/>
  <c r="K19" i="43"/>
  <c r="R18" i="43"/>
  <c r="Q18" i="43"/>
  <c r="P18" i="43"/>
  <c r="O18" i="43"/>
  <c r="N18" i="43"/>
  <c r="M18" i="43"/>
  <c r="R17" i="43"/>
  <c r="Q17" i="43"/>
  <c r="P17" i="43"/>
  <c r="O17" i="43"/>
  <c r="N17" i="43"/>
  <c r="M17" i="43"/>
  <c r="K17" i="43"/>
  <c r="R16" i="43"/>
  <c r="Q16" i="43"/>
  <c r="P16" i="43"/>
  <c r="O16" i="43"/>
  <c r="N16" i="43"/>
  <c r="M16" i="43"/>
  <c r="K16" i="43"/>
  <c r="R15" i="43"/>
  <c r="Q15" i="43"/>
  <c r="P15" i="43"/>
  <c r="O15" i="43"/>
  <c r="N15" i="43"/>
  <c r="M15" i="43"/>
  <c r="U14" i="43"/>
  <c r="U13" i="43"/>
  <c r="U12" i="43"/>
  <c r="U11" i="43"/>
  <c r="U10" i="43"/>
  <c r="U9" i="43"/>
  <c r="U8" i="43"/>
  <c r="U7" i="43"/>
  <c r="U17" i="43" l="1"/>
  <c r="U16" i="43"/>
  <c r="U20" i="43" s="1"/>
  <c r="U19" i="43"/>
  <c r="U18" i="43"/>
  <c r="U15" i="43"/>
  <c r="O20" i="80"/>
  <c r="N20" i="80"/>
  <c r="K20" i="80"/>
  <c r="I20" i="80"/>
  <c r="H20" i="80"/>
  <c r="F20" i="80"/>
  <c r="Q19" i="80"/>
  <c r="M19" i="80"/>
  <c r="S19" i="80" s="1"/>
  <c r="J19" i="80"/>
  <c r="R19" i="80" s="1"/>
  <c r="S18" i="80"/>
  <c r="R18" i="80"/>
  <c r="S17" i="80"/>
  <c r="R17" i="80"/>
  <c r="M16" i="80"/>
  <c r="J16" i="80"/>
  <c r="Q15" i="80"/>
  <c r="M15" i="80"/>
  <c r="J15" i="80"/>
  <c r="P14" i="80"/>
  <c r="R14" i="80" s="1"/>
  <c r="M14" i="80"/>
  <c r="J14" i="80"/>
  <c r="S13" i="80"/>
  <c r="M12" i="80"/>
  <c r="J12" i="80"/>
  <c r="P11" i="80"/>
  <c r="L11" i="80"/>
  <c r="M11" i="80" s="1"/>
  <c r="J11" i="80"/>
  <c r="G11" i="80"/>
  <c r="G20" i="80" s="1"/>
  <c r="P20" i="80" l="1"/>
  <c r="Q11" i="80"/>
  <c r="S14" i="80"/>
  <c r="J20" i="80"/>
  <c r="M20" i="80"/>
  <c r="S20" i="80" s="1"/>
  <c r="Q14" i="80"/>
  <c r="R20" i="80"/>
  <c r="Q20" i="80"/>
  <c r="L20" i="80"/>
  <c r="S11" i="80"/>
  <c r="R11" i="80"/>
  <c r="S13" i="46" l="1"/>
  <c r="O13" i="46"/>
  <c r="N13" i="46"/>
  <c r="M13" i="46"/>
  <c r="L13" i="46"/>
  <c r="L16" i="46" s="1"/>
  <c r="O12" i="46"/>
  <c r="N12" i="46"/>
  <c r="M12" i="46"/>
  <c r="L12" i="46"/>
  <c r="S11" i="46"/>
  <c r="O11" i="46"/>
  <c r="N11" i="46"/>
  <c r="M11" i="46"/>
  <c r="L11" i="46"/>
  <c r="U9" i="46"/>
  <c r="S8" i="46"/>
  <c r="S12" i="46" s="1"/>
  <c r="U7" i="46"/>
  <c r="O16" i="46" l="1"/>
  <c r="M16" i="46"/>
  <c r="U11" i="46"/>
  <c r="N16" i="46"/>
  <c r="L15" i="46"/>
  <c r="M15" i="46"/>
  <c r="N15" i="46"/>
  <c r="O15" i="46"/>
  <c r="U13" i="46"/>
  <c r="U12" i="46"/>
  <c r="S15" i="46"/>
  <c r="S16" i="46"/>
  <c r="U8" i="46"/>
  <c r="U16" i="46" l="1"/>
  <c r="U15" i="46"/>
  <c r="J23" i="98"/>
  <c r="K23" i="98"/>
  <c r="L23" i="98"/>
  <c r="M23" i="98"/>
  <c r="N23" i="98"/>
  <c r="O23" i="98"/>
  <c r="P23" i="98"/>
  <c r="R23" i="98"/>
  <c r="S23" i="98"/>
  <c r="K24" i="98"/>
  <c r="L24" i="98"/>
  <c r="M24" i="98"/>
  <c r="N24" i="98"/>
  <c r="O24" i="98"/>
  <c r="P24" i="98"/>
  <c r="R24" i="98"/>
  <c r="S24" i="98"/>
  <c r="K25" i="98"/>
  <c r="L25" i="98"/>
  <c r="M25" i="98"/>
  <c r="N25" i="98"/>
  <c r="O25" i="98"/>
  <c r="P25" i="98"/>
  <c r="R25" i="98"/>
  <c r="S25" i="98"/>
  <c r="J24" i="98"/>
  <c r="J25" i="98"/>
  <c r="Q20" i="98"/>
  <c r="Q21" i="98"/>
  <c r="Q22" i="98"/>
  <c r="I22" i="98"/>
  <c r="Q17" i="98"/>
  <c r="Q18" i="98"/>
  <c r="Q19" i="98"/>
  <c r="I19" i="98"/>
  <c r="Q16" i="98"/>
  <c r="Q14" i="98"/>
  <c r="Q15" i="98"/>
  <c r="I16" i="98"/>
  <c r="Q12" i="98"/>
  <c r="Q13" i="98"/>
  <c r="Q11" i="98"/>
  <c r="I13" i="98"/>
  <c r="G11" i="81"/>
  <c r="J11" i="81" s="1"/>
  <c r="Q9" i="98"/>
  <c r="Q10" i="98"/>
  <c r="Q25" i="98" s="1"/>
  <c r="Q8" i="98"/>
  <c r="Q23" i="98" l="1"/>
  <c r="Q24" i="98"/>
  <c r="G12" i="81"/>
  <c r="J12" i="81" s="1"/>
  <c r="G13" i="81"/>
  <c r="J13" i="81" s="1"/>
  <c r="G14" i="81"/>
  <c r="J14" i="81" s="1"/>
  <c r="G15" i="81"/>
  <c r="J15" i="81" s="1"/>
  <c r="I28" i="96" l="1"/>
  <c r="I29" i="96" s="1"/>
  <c r="O28" i="96"/>
  <c r="O29" i="96" s="1"/>
  <c r="I21" i="96"/>
  <c r="L21" i="96" s="1"/>
  <c r="O21" i="96" s="1"/>
  <c r="R21" i="96" s="1"/>
  <c r="P11" i="96"/>
  <c r="I12" i="96"/>
  <c r="K22" i="96"/>
  <c r="J22" i="96"/>
  <c r="M22" i="96" s="1"/>
  <c r="P23" i="96"/>
  <c r="Q23" i="96" s="1"/>
  <c r="P24" i="96"/>
  <c r="Q24" i="96" s="1"/>
  <c r="P25" i="96"/>
  <c r="Q25" i="96" s="1"/>
  <c r="P26" i="96"/>
  <c r="Q26" i="96" s="1"/>
  <c r="P27" i="96"/>
  <c r="Q27" i="96" s="1"/>
  <c r="P22" i="96"/>
  <c r="Q22" i="96" s="1"/>
  <c r="L23" i="96"/>
  <c r="L24" i="96"/>
  <c r="L25" i="96"/>
  <c r="L26" i="96"/>
  <c r="L27" i="96"/>
  <c r="L22" i="96"/>
  <c r="K23" i="96"/>
  <c r="K24" i="96"/>
  <c r="K25" i="96"/>
  <c r="K26" i="96"/>
  <c r="K27" i="96"/>
  <c r="J23" i="96"/>
  <c r="M23" i="96" s="1"/>
  <c r="J24" i="96"/>
  <c r="R24" i="96" s="1"/>
  <c r="J25" i="96"/>
  <c r="M25" i="96" s="1"/>
  <c r="J26" i="96"/>
  <c r="M26" i="96" s="1"/>
  <c r="J27" i="96"/>
  <c r="M27" i="96" s="1"/>
  <c r="G21" i="96"/>
  <c r="J21" i="96" s="1"/>
  <c r="M21" i="96" s="1"/>
  <c r="P21" i="96" s="1"/>
  <c r="S21" i="96" s="1"/>
  <c r="G28" i="96"/>
  <c r="J14" i="96"/>
  <c r="G14" i="96"/>
  <c r="G11" i="96"/>
  <c r="G15" i="96"/>
  <c r="G16" i="96"/>
  <c r="G17" i="96"/>
  <c r="G18" i="96"/>
  <c r="J11" i="96"/>
  <c r="M11" i="96"/>
  <c r="L12" i="96"/>
  <c r="O12" i="96"/>
  <c r="K14" i="96"/>
  <c r="L14" i="96"/>
  <c r="N14" i="96"/>
  <c r="O14" i="96"/>
  <c r="K15" i="96"/>
  <c r="L15" i="96"/>
  <c r="N15" i="96"/>
  <c r="O15" i="96"/>
  <c r="K16" i="96"/>
  <c r="L16" i="96"/>
  <c r="N16" i="96"/>
  <c r="O16" i="96"/>
  <c r="K17" i="96"/>
  <c r="L17" i="96"/>
  <c r="N17" i="96"/>
  <c r="O17" i="96"/>
  <c r="K18" i="96"/>
  <c r="L18" i="96"/>
  <c r="N18" i="96"/>
  <c r="O18" i="96"/>
  <c r="H21" i="96"/>
  <c r="K21" i="96" s="1"/>
  <c r="N21" i="96" s="1"/>
  <c r="Q21" i="96" s="1"/>
  <c r="N29" i="96"/>
  <c r="P29" i="96"/>
  <c r="Q29" i="96"/>
  <c r="R29" i="96"/>
  <c r="S29" i="96"/>
  <c r="M15" i="96" l="1"/>
  <c r="Q11" i="96"/>
  <c r="R22" i="96"/>
  <c r="M24" i="96"/>
  <c r="S24" i="96" s="1"/>
  <c r="S22" i="96"/>
  <c r="S26" i="96"/>
  <c r="R11" i="96"/>
  <c r="S11" i="96"/>
  <c r="R26" i="96"/>
  <c r="S27" i="96"/>
  <c r="S25" i="96"/>
  <c r="S23" i="96"/>
  <c r="R27" i="96"/>
  <c r="R25" i="96"/>
  <c r="R23" i="96"/>
  <c r="J17" i="96"/>
  <c r="J16" i="96"/>
  <c r="M16" i="96"/>
  <c r="M18" i="96"/>
  <c r="P15" i="96"/>
  <c r="S15" i="96" s="1"/>
  <c r="J18" i="96"/>
  <c r="P16" i="96"/>
  <c r="P17" i="96"/>
  <c r="Q17" i="96" s="1"/>
  <c r="M14" i="96"/>
  <c r="M17" i="96"/>
  <c r="J15" i="96"/>
  <c r="P18" i="96"/>
  <c r="P14" i="96"/>
  <c r="R16" i="96" l="1"/>
  <c r="S14" i="96"/>
  <c r="Q14" i="96"/>
  <c r="Q15" i="96"/>
  <c r="R17" i="96"/>
  <c r="R15" i="96"/>
  <c r="Q16" i="96"/>
  <c r="S17" i="96"/>
  <c r="S16" i="96"/>
  <c r="R18" i="96"/>
  <c r="S18" i="96"/>
  <c r="Q18" i="96"/>
  <c r="R14" i="96"/>
  <c r="N30" i="95" l="1"/>
  <c r="J13" i="95"/>
  <c r="J14" i="95"/>
  <c r="J15" i="95"/>
  <c r="J16" i="95"/>
  <c r="J17" i="95"/>
  <c r="J18" i="95"/>
  <c r="J19" i="95"/>
  <c r="J20" i="95"/>
  <c r="J21" i="95"/>
  <c r="J22" i="95"/>
  <c r="J23" i="95"/>
  <c r="J24" i="95"/>
  <c r="J25" i="95"/>
  <c r="J26" i="95"/>
  <c r="J12" i="95"/>
  <c r="J11" i="95"/>
  <c r="J10" i="95"/>
  <c r="J8" i="95"/>
  <c r="J9" i="95"/>
  <c r="J7" i="95"/>
  <c r="K28" i="95"/>
  <c r="L28" i="95"/>
  <c r="M28" i="95"/>
  <c r="N28" i="95"/>
  <c r="O28" i="95"/>
  <c r="P28" i="95"/>
  <c r="Q28" i="95"/>
  <c r="R28" i="95"/>
  <c r="S28" i="95"/>
  <c r="K29" i="95"/>
  <c r="L29" i="95"/>
  <c r="M29" i="95"/>
  <c r="N29" i="95"/>
  <c r="O29" i="95"/>
  <c r="P29" i="95"/>
  <c r="Q29" i="95"/>
  <c r="R29" i="95"/>
  <c r="S29" i="95"/>
  <c r="K30" i="95"/>
  <c r="L30" i="95"/>
  <c r="M30" i="95"/>
  <c r="O30" i="95"/>
  <c r="P30" i="95"/>
  <c r="Q30" i="95"/>
  <c r="R30" i="95"/>
  <c r="S30" i="95"/>
  <c r="J28" i="95" l="1"/>
  <c r="J30" i="95"/>
  <c r="J29" i="95"/>
  <c r="L121" i="92" l="1"/>
  <c r="R193" i="94"/>
  <c r="R197" i="94" s="1"/>
  <c r="Q193" i="94"/>
  <c r="Q197" i="94" s="1"/>
  <c r="P193" i="94"/>
  <c r="P197" i="94" s="1"/>
  <c r="O193" i="94"/>
  <c r="O197" i="94" s="1"/>
  <c r="N193" i="94"/>
  <c r="N197" i="94" s="1"/>
  <c r="M193" i="94"/>
  <c r="M197" i="94" s="1"/>
  <c r="L193" i="94"/>
  <c r="L197" i="94" s="1"/>
  <c r="K193" i="94"/>
  <c r="K197" i="94" s="1"/>
  <c r="J193" i="94"/>
  <c r="J197" i="94" s="1"/>
  <c r="R192" i="94"/>
  <c r="Q192" i="94"/>
  <c r="P192" i="94"/>
  <c r="O192" i="94"/>
  <c r="N192" i="94"/>
  <c r="M192" i="94"/>
  <c r="L192" i="94"/>
  <c r="K192" i="94"/>
  <c r="J192" i="94"/>
  <c r="R191" i="94"/>
  <c r="Q191" i="94"/>
  <c r="P191" i="94"/>
  <c r="O191" i="94"/>
  <c r="N191" i="94"/>
  <c r="M191" i="94"/>
  <c r="L191" i="94"/>
  <c r="K191" i="94"/>
  <c r="J191" i="94"/>
  <c r="I189" i="94"/>
  <c r="I188" i="94"/>
  <c r="I187" i="94"/>
  <c r="I186" i="94"/>
  <c r="I184" i="94"/>
  <c r="I183" i="94"/>
  <c r="I182" i="94"/>
  <c r="I181" i="94"/>
  <c r="I180" i="94"/>
  <c r="I179" i="94"/>
  <c r="I178" i="94"/>
  <c r="I177" i="94"/>
  <c r="I176" i="94"/>
  <c r="I175" i="94"/>
  <c r="I174" i="94"/>
  <c r="I173" i="94"/>
  <c r="I172" i="94"/>
  <c r="I171" i="94"/>
  <c r="I170" i="94"/>
  <c r="I169" i="94"/>
  <c r="I168" i="94"/>
  <c r="I167" i="94"/>
  <c r="I166" i="94"/>
  <c r="I165" i="94"/>
  <c r="I164" i="94"/>
  <c r="I163" i="94"/>
  <c r="I162" i="94"/>
  <c r="I161" i="94"/>
  <c r="I160" i="94"/>
  <c r="I159" i="94"/>
  <c r="I158" i="94"/>
  <c r="I157" i="94"/>
  <c r="I156" i="94"/>
  <c r="I155" i="94"/>
  <c r="I154" i="94"/>
  <c r="I153" i="94"/>
  <c r="I152" i="94"/>
  <c r="I151" i="94"/>
  <c r="I150" i="94"/>
  <c r="I149" i="94"/>
  <c r="I148" i="94"/>
  <c r="I147" i="94"/>
  <c r="I146" i="94"/>
  <c r="I145" i="94"/>
  <c r="I144" i="94"/>
  <c r="I143" i="94"/>
  <c r="I142" i="94"/>
  <c r="I141" i="94"/>
  <c r="I140" i="94"/>
  <c r="I139" i="94"/>
  <c r="I138" i="94"/>
  <c r="I137" i="94"/>
  <c r="I136" i="94"/>
  <c r="I135" i="94"/>
  <c r="I134" i="94"/>
  <c r="I133" i="94"/>
  <c r="I132" i="94"/>
  <c r="I131" i="94"/>
  <c r="I130" i="94"/>
  <c r="I129" i="94"/>
  <c r="I127" i="94"/>
  <c r="I126" i="94"/>
  <c r="I125" i="94"/>
  <c r="I124" i="94"/>
  <c r="I123" i="94"/>
  <c r="I122" i="94"/>
  <c r="I121" i="94"/>
  <c r="I120" i="94"/>
  <c r="I119" i="94"/>
  <c r="I118" i="94"/>
  <c r="I117" i="94"/>
  <c r="I116" i="94"/>
  <c r="I115" i="94"/>
  <c r="I114" i="94"/>
  <c r="I113" i="94"/>
  <c r="I112" i="94"/>
  <c r="I111" i="94"/>
  <c r="I110" i="94"/>
  <c r="I109" i="94"/>
  <c r="I108" i="94"/>
  <c r="I107" i="94"/>
  <c r="I106" i="94"/>
  <c r="I105" i="94"/>
  <c r="I104" i="94"/>
  <c r="I103" i="94"/>
  <c r="I102" i="94"/>
  <c r="I101" i="94"/>
  <c r="I100" i="94"/>
  <c r="I99" i="94"/>
  <c r="I98" i="94"/>
  <c r="I97" i="94"/>
  <c r="I96" i="94"/>
  <c r="I95" i="94"/>
  <c r="I94" i="94"/>
  <c r="I93" i="94"/>
  <c r="I92" i="94"/>
  <c r="I91" i="94"/>
  <c r="I90" i="94"/>
  <c r="I89" i="94"/>
  <c r="I88" i="94"/>
  <c r="I87" i="94"/>
  <c r="I86" i="94"/>
  <c r="I85" i="94"/>
  <c r="I84" i="94"/>
  <c r="I83" i="94"/>
  <c r="I82" i="94"/>
  <c r="I81" i="94"/>
  <c r="I80" i="94"/>
  <c r="I79" i="94"/>
  <c r="I78" i="94"/>
  <c r="I77" i="94"/>
  <c r="I76" i="94"/>
  <c r="I75" i="94"/>
  <c r="I74" i="94"/>
  <c r="I73" i="94"/>
  <c r="I72" i="94"/>
  <c r="I71" i="94"/>
  <c r="I70" i="94"/>
  <c r="I69" i="94"/>
  <c r="I68" i="94"/>
  <c r="I67" i="94"/>
  <c r="I66" i="94"/>
  <c r="I65" i="94"/>
  <c r="I64" i="94"/>
  <c r="I63" i="94"/>
  <c r="I62" i="94"/>
  <c r="I61" i="94"/>
  <c r="I60" i="94"/>
  <c r="I59" i="94"/>
  <c r="I58" i="94"/>
  <c r="I57" i="94"/>
  <c r="I56" i="94"/>
  <c r="I55" i="94"/>
  <c r="I54" i="94"/>
  <c r="I53" i="94"/>
  <c r="I52" i="94"/>
  <c r="I51" i="94"/>
  <c r="I50" i="94"/>
  <c r="I49" i="94"/>
  <c r="I48" i="94"/>
  <c r="I47" i="94"/>
  <c r="I46" i="94"/>
  <c r="I45" i="94"/>
  <c r="I44" i="94"/>
  <c r="I43" i="94"/>
  <c r="I42" i="94"/>
  <c r="I41" i="94"/>
  <c r="I40" i="94"/>
  <c r="I39" i="94"/>
  <c r="I38" i="94"/>
  <c r="I37" i="94"/>
  <c r="I36" i="94"/>
  <c r="I35" i="94"/>
  <c r="I34" i="94"/>
  <c r="I33" i="94"/>
  <c r="I32" i="94"/>
  <c r="I31" i="94"/>
  <c r="I30" i="94"/>
  <c r="I29" i="94"/>
  <c r="I28" i="94"/>
  <c r="I27" i="94"/>
  <c r="I26" i="94"/>
  <c r="I25" i="94"/>
  <c r="I24" i="94"/>
  <c r="I23" i="94"/>
  <c r="I22" i="94"/>
  <c r="I21" i="94"/>
  <c r="I20" i="94"/>
  <c r="I19" i="94"/>
  <c r="I18" i="94"/>
  <c r="I17" i="94"/>
  <c r="I16" i="94"/>
  <c r="I15" i="94"/>
  <c r="I14" i="94"/>
  <c r="I13" i="94"/>
  <c r="I12" i="94"/>
  <c r="I11" i="94"/>
  <c r="I10" i="94"/>
  <c r="I9" i="94"/>
  <c r="I8" i="94"/>
  <c r="P83" i="78"/>
  <c r="J83" i="78"/>
  <c r="I83" i="78"/>
  <c r="F82" i="78"/>
  <c r="N80" i="78"/>
  <c r="N83" i="78" s="1"/>
  <c r="K80" i="78"/>
  <c r="K83" i="78" s="1"/>
  <c r="H80" i="78"/>
  <c r="H83" i="78" s="1"/>
  <c r="G80" i="78"/>
  <c r="G83" i="78" s="1"/>
  <c r="E80" i="78"/>
  <c r="E83" i="78" s="1"/>
  <c r="F83" i="78" s="1"/>
  <c r="L79" i="78"/>
  <c r="I79" i="78"/>
  <c r="R75" i="78"/>
  <c r="Q75" i="78"/>
  <c r="F75" i="78"/>
  <c r="R73" i="78"/>
  <c r="I73" i="78"/>
  <c r="Q73" i="78" s="1"/>
  <c r="F73" i="78"/>
  <c r="R72" i="78"/>
  <c r="Q72" i="78"/>
  <c r="F72" i="78"/>
  <c r="I71" i="78"/>
  <c r="F70" i="78"/>
  <c r="R69" i="78"/>
  <c r="Q69" i="78"/>
  <c r="F69" i="78"/>
  <c r="I66" i="78"/>
  <c r="R65" i="78"/>
  <c r="I65" i="78"/>
  <c r="Q65" i="78" s="1"/>
  <c r="F65" i="78"/>
  <c r="R64" i="78"/>
  <c r="Q64" i="78"/>
  <c r="F64" i="78"/>
  <c r="F63" i="78"/>
  <c r="I62" i="78"/>
  <c r="R60" i="78"/>
  <c r="Q60" i="78"/>
  <c r="F60" i="78"/>
  <c r="I59" i="78"/>
  <c r="I58" i="78"/>
  <c r="I57" i="78"/>
  <c r="R56" i="78"/>
  <c r="Q56" i="78"/>
  <c r="F56" i="78"/>
  <c r="R52" i="78"/>
  <c r="Q52" i="78"/>
  <c r="F52" i="78"/>
  <c r="R51" i="78"/>
  <c r="Q51" i="78"/>
  <c r="I51" i="78"/>
  <c r="R50" i="78"/>
  <c r="Q50" i="78"/>
  <c r="F50" i="78"/>
  <c r="R49" i="78"/>
  <c r="Q49" i="78"/>
  <c r="R48" i="78"/>
  <c r="Q48" i="78"/>
  <c r="I48" i="78"/>
  <c r="R47" i="78"/>
  <c r="I47" i="78"/>
  <c r="Q47" i="78" s="1"/>
  <c r="F47" i="78"/>
  <c r="L46" i="78"/>
  <c r="I46" i="78"/>
  <c r="R45" i="78"/>
  <c r="Q45" i="78"/>
  <c r="F45" i="78"/>
  <c r="R44" i="78"/>
  <c r="I44" i="78"/>
  <c r="Q44" i="78" s="1"/>
  <c r="L43" i="78"/>
  <c r="R43" i="78" s="1"/>
  <c r="I43" i="78"/>
  <c r="Q43" i="78" s="1"/>
  <c r="F43" i="78"/>
  <c r="L42" i="78"/>
  <c r="R42" i="78" s="1"/>
  <c r="I42" i="78"/>
  <c r="Q42" i="78" s="1"/>
  <c r="F42" i="78"/>
  <c r="R41" i="78"/>
  <c r="Q41" i="78"/>
  <c r="R40" i="78"/>
  <c r="Q40" i="78"/>
  <c r="F40" i="78"/>
  <c r="L39" i="78"/>
  <c r="R39" i="78" s="1"/>
  <c r="I39" i="78"/>
  <c r="Q39" i="78" s="1"/>
  <c r="F39" i="78"/>
  <c r="R37" i="78"/>
  <c r="Q37" i="78"/>
  <c r="F37" i="78"/>
  <c r="P36" i="78"/>
  <c r="P35" i="78"/>
  <c r="I35" i="78"/>
  <c r="P34" i="78"/>
  <c r="F33" i="78"/>
  <c r="P32" i="78"/>
  <c r="P31" i="78"/>
  <c r="I31" i="78"/>
  <c r="P30" i="78"/>
  <c r="P29" i="78"/>
  <c r="R28" i="78"/>
  <c r="O28" i="78"/>
  <c r="L28" i="78"/>
  <c r="I28" i="78"/>
  <c r="F28" i="78"/>
  <c r="R27" i="78"/>
  <c r="P27" i="78"/>
  <c r="L25" i="78"/>
  <c r="R25" i="78" s="1"/>
  <c r="I25" i="78"/>
  <c r="Q25" i="78" s="1"/>
  <c r="F25" i="78"/>
  <c r="P25" i="78" s="1"/>
  <c r="R24" i="78"/>
  <c r="I24" i="78"/>
  <c r="Q24" i="78" s="1"/>
  <c r="F24" i="78"/>
  <c r="M23" i="78"/>
  <c r="O23" i="78" s="1"/>
  <c r="L23" i="78"/>
  <c r="I23" i="78"/>
  <c r="F23" i="78"/>
  <c r="M22" i="78"/>
  <c r="O22" i="78" s="1"/>
  <c r="R22" i="78" s="1"/>
  <c r="L22" i="78"/>
  <c r="I22" i="78"/>
  <c r="F22" i="78"/>
  <c r="M21" i="78"/>
  <c r="O21" i="78" s="1"/>
  <c r="R21" i="78" s="1"/>
  <c r="L21" i="78"/>
  <c r="I21" i="78"/>
  <c r="F21" i="78"/>
  <c r="M20" i="78"/>
  <c r="O20" i="78" s="1"/>
  <c r="L20" i="78"/>
  <c r="I20" i="78"/>
  <c r="F20" i="78"/>
  <c r="M19" i="78"/>
  <c r="O19" i="78" s="1"/>
  <c r="R19" i="78" s="1"/>
  <c r="L19" i="78"/>
  <c r="I19" i="78"/>
  <c r="F19" i="78"/>
  <c r="M18" i="78"/>
  <c r="O18" i="78" s="1"/>
  <c r="R18" i="78" s="1"/>
  <c r="L18" i="78"/>
  <c r="I18" i="78"/>
  <c r="F18" i="78"/>
  <c r="O17" i="78"/>
  <c r="R17" i="78" s="1"/>
  <c r="M17" i="78"/>
  <c r="L17" i="78"/>
  <c r="I17" i="78"/>
  <c r="F17" i="78"/>
  <c r="M16" i="78"/>
  <c r="O16" i="78" s="1"/>
  <c r="L16" i="78"/>
  <c r="I16" i="78"/>
  <c r="F16" i="78"/>
  <c r="M15" i="78"/>
  <c r="O15" i="78" s="1"/>
  <c r="R15" i="78" s="1"/>
  <c r="L15" i="78"/>
  <c r="I15" i="78"/>
  <c r="F15" i="78"/>
  <c r="M14" i="78"/>
  <c r="O14" i="78" s="1"/>
  <c r="L14" i="78"/>
  <c r="I14" i="78"/>
  <c r="F14" i="78"/>
  <c r="O13" i="78"/>
  <c r="M13" i="78"/>
  <c r="L13" i="78"/>
  <c r="I13" i="78"/>
  <c r="F13" i="78"/>
  <c r="M12" i="78"/>
  <c r="O12" i="78" s="1"/>
  <c r="L12" i="78"/>
  <c r="I12" i="78"/>
  <c r="F12" i="78"/>
  <c r="M11" i="78"/>
  <c r="L11" i="78"/>
  <c r="I11" i="78"/>
  <c r="F11" i="78"/>
  <c r="R13" i="78" l="1"/>
  <c r="P28" i="78"/>
  <c r="Q28" i="78"/>
  <c r="R23" i="78"/>
  <c r="R12" i="78"/>
  <c r="R14" i="78"/>
  <c r="R16" i="78"/>
  <c r="P17" i="78"/>
  <c r="R20" i="78"/>
  <c r="L80" i="78"/>
  <c r="L83" i="78" s="1"/>
  <c r="Q17" i="78"/>
  <c r="I193" i="94"/>
  <c r="I197" i="94" s="1"/>
  <c r="I191" i="94"/>
  <c r="I192" i="94"/>
  <c r="M80" i="78"/>
  <c r="M83" i="78" s="1"/>
  <c r="P15" i="78"/>
  <c r="Q15" i="78"/>
  <c r="P20" i="78"/>
  <c r="Q23" i="78"/>
  <c r="Q12" i="78"/>
  <c r="Q20" i="78"/>
  <c r="P22" i="78"/>
  <c r="P19" i="78"/>
  <c r="Q22" i="78"/>
  <c r="P14" i="78"/>
  <c r="Q14" i="78"/>
  <c r="P16" i="78"/>
  <c r="Q19" i="78"/>
  <c r="Q16" i="78"/>
  <c r="P21" i="78"/>
  <c r="Q13" i="78"/>
  <c r="P18" i="78"/>
  <c r="Q21" i="78"/>
  <c r="P13" i="78"/>
  <c r="O11" i="78"/>
  <c r="R11" i="78" s="1"/>
  <c r="Q18" i="78"/>
  <c r="P23" i="78"/>
  <c r="F80" i="78"/>
  <c r="P12" i="78"/>
  <c r="Q11" i="78" l="1"/>
  <c r="P11" i="78"/>
  <c r="O80" i="78"/>
  <c r="O83" i="78" s="1"/>
  <c r="I55" i="77"/>
  <c r="O55" i="77"/>
  <c r="L55" i="77"/>
  <c r="F55" i="77"/>
  <c r="M54" i="77"/>
  <c r="J54" i="77"/>
  <c r="G54" i="77"/>
  <c r="M53" i="77"/>
  <c r="J53" i="77"/>
  <c r="G53" i="77"/>
  <c r="M52" i="77"/>
  <c r="J52" i="77"/>
  <c r="G52" i="77"/>
  <c r="M51" i="77"/>
  <c r="J51" i="77"/>
  <c r="G51" i="77"/>
  <c r="M50" i="77"/>
  <c r="J50" i="77"/>
  <c r="G50" i="77"/>
  <c r="M49" i="77"/>
  <c r="S49" i="77" s="1"/>
  <c r="J49" i="77"/>
  <c r="R49" i="77" s="1"/>
  <c r="G49" i="77"/>
  <c r="Q49" i="77" s="1"/>
  <c r="M48" i="77"/>
  <c r="J48" i="77"/>
  <c r="G48" i="77"/>
  <c r="M47" i="77"/>
  <c r="J47" i="77"/>
  <c r="G47" i="77"/>
  <c r="M46" i="77"/>
  <c r="J46" i="77"/>
  <c r="G46" i="77"/>
  <c r="M45" i="77"/>
  <c r="J45" i="77"/>
  <c r="G45" i="77"/>
  <c r="M44" i="77"/>
  <c r="S44" i="77" s="1"/>
  <c r="J44" i="77"/>
  <c r="R44" i="77" s="1"/>
  <c r="G44" i="77"/>
  <c r="Q44" i="77" s="1"/>
  <c r="M43" i="77"/>
  <c r="J43" i="77"/>
  <c r="G43" i="77"/>
  <c r="M42" i="77"/>
  <c r="S42" i="77" s="1"/>
  <c r="J42" i="77"/>
  <c r="R42" i="77" s="1"/>
  <c r="G42" i="77"/>
  <c r="Q42" i="77" s="1"/>
  <c r="M41" i="77"/>
  <c r="J41" i="77"/>
  <c r="G41" i="77"/>
  <c r="M40" i="77"/>
  <c r="J40" i="77"/>
  <c r="G40" i="77"/>
  <c r="M39" i="77"/>
  <c r="J39" i="77"/>
  <c r="G39" i="77"/>
  <c r="M38" i="77"/>
  <c r="J38" i="77"/>
  <c r="G38" i="77"/>
  <c r="M37" i="77"/>
  <c r="J37" i="77"/>
  <c r="G37" i="77"/>
  <c r="M36" i="77"/>
  <c r="J36" i="77"/>
  <c r="G36" i="77"/>
  <c r="M35" i="77"/>
  <c r="J35" i="77"/>
  <c r="G35" i="77"/>
  <c r="M34" i="77"/>
  <c r="J34" i="77"/>
  <c r="G34" i="77"/>
  <c r="M33" i="77"/>
  <c r="J33" i="77"/>
  <c r="G33" i="77"/>
  <c r="M32" i="77"/>
  <c r="J32" i="77"/>
  <c r="G32" i="77"/>
  <c r="M31" i="77"/>
  <c r="J31" i="77"/>
  <c r="G31" i="77"/>
  <c r="M30" i="77"/>
  <c r="J30" i="77"/>
  <c r="G30" i="77"/>
  <c r="M29" i="77"/>
  <c r="J29" i="77"/>
  <c r="G29" i="77"/>
  <c r="M28" i="77"/>
  <c r="J28" i="77"/>
  <c r="G28" i="77"/>
  <c r="M27" i="77"/>
  <c r="J27" i="77"/>
  <c r="G27" i="77"/>
  <c r="M26" i="77"/>
  <c r="J26" i="77"/>
  <c r="G26" i="77"/>
  <c r="M25" i="77"/>
  <c r="J25" i="77"/>
  <c r="G25" i="77"/>
  <c r="M24" i="77"/>
  <c r="J24" i="77"/>
  <c r="G24" i="77"/>
  <c r="M23" i="77"/>
  <c r="N23" i="77" s="1"/>
  <c r="P23" i="77" s="1"/>
  <c r="J23" i="77"/>
  <c r="G23" i="77"/>
  <c r="M22" i="77"/>
  <c r="J22" i="77"/>
  <c r="G22" i="77"/>
  <c r="M21" i="77"/>
  <c r="J21" i="77"/>
  <c r="G21" i="77"/>
  <c r="M20" i="77"/>
  <c r="J20" i="77"/>
  <c r="G20" i="77"/>
  <c r="M19" i="77"/>
  <c r="J19" i="77"/>
  <c r="G19" i="77"/>
  <c r="M18" i="77"/>
  <c r="J18" i="77"/>
  <c r="G18" i="77"/>
  <c r="M17" i="77"/>
  <c r="J17" i="77"/>
  <c r="G17" i="77"/>
  <c r="M16" i="77"/>
  <c r="J16" i="77"/>
  <c r="G16" i="77"/>
  <c r="P15" i="77"/>
  <c r="M15" i="77"/>
  <c r="J15" i="77"/>
  <c r="G15" i="77"/>
  <c r="P14" i="77"/>
  <c r="M14" i="77"/>
  <c r="J14" i="77"/>
  <c r="G14" i="77"/>
  <c r="P13" i="77"/>
  <c r="M13" i="77"/>
  <c r="J13" i="77"/>
  <c r="G13" i="77"/>
  <c r="P12" i="77"/>
  <c r="M12" i="77"/>
  <c r="J12" i="77"/>
  <c r="G12" i="77"/>
  <c r="P11" i="77"/>
  <c r="M11" i="77"/>
  <c r="J11" i="77"/>
  <c r="G11" i="77"/>
  <c r="S14" i="77" l="1"/>
  <c r="R23" i="77"/>
  <c r="Q23" i="77"/>
  <c r="S23" i="77"/>
  <c r="R14" i="77"/>
  <c r="N55" i="77"/>
  <c r="S12" i="77"/>
  <c r="Q14" i="77"/>
  <c r="S15" i="77"/>
  <c r="R11" i="77"/>
  <c r="Q11" i="77"/>
  <c r="S13" i="77"/>
  <c r="Q12" i="77"/>
  <c r="S11" i="77"/>
  <c r="R12" i="77"/>
  <c r="Q13" i="77"/>
  <c r="Q15" i="77"/>
  <c r="R13" i="77"/>
  <c r="R15" i="77"/>
  <c r="N27" i="40"/>
  <c r="J27" i="40"/>
  <c r="P55" i="77" l="1"/>
  <c r="R55" i="77" l="1"/>
  <c r="Q55" i="77"/>
  <c r="S55" i="77"/>
  <c r="U123" i="92"/>
  <c r="T123" i="92"/>
  <c r="S123" i="92"/>
  <c r="Q123" i="92"/>
  <c r="O123" i="92"/>
  <c r="N123" i="92"/>
  <c r="M123" i="92"/>
  <c r="L123" i="92"/>
  <c r="U122" i="92"/>
  <c r="T122" i="92"/>
  <c r="S122" i="92"/>
  <c r="Q122" i="92"/>
  <c r="O122" i="92"/>
  <c r="N122" i="92"/>
  <c r="M122" i="92"/>
  <c r="L122" i="92"/>
  <c r="U121" i="92"/>
  <c r="T121" i="92"/>
  <c r="S121" i="92"/>
  <c r="R121" i="92"/>
  <c r="Q121" i="92"/>
  <c r="O121" i="92"/>
  <c r="N121" i="92"/>
  <c r="M121" i="92"/>
  <c r="K120" i="92"/>
  <c r="K119" i="92"/>
  <c r="K118" i="92"/>
  <c r="K117" i="92"/>
  <c r="K116" i="92"/>
  <c r="K115" i="92"/>
  <c r="K114" i="92"/>
  <c r="K113" i="92"/>
  <c r="K112" i="92"/>
  <c r="K111" i="92"/>
  <c r="K110" i="92"/>
  <c r="K109" i="92"/>
  <c r="K108" i="92"/>
  <c r="K107" i="92"/>
  <c r="K106" i="92"/>
  <c r="K105" i="92"/>
  <c r="K104" i="92"/>
  <c r="K103" i="92"/>
  <c r="K102" i="92"/>
  <c r="K101" i="92"/>
  <c r="K100" i="92"/>
  <c r="K99" i="92"/>
  <c r="K98" i="92"/>
  <c r="K97" i="92"/>
  <c r="K96" i="92"/>
  <c r="K95" i="92"/>
  <c r="K94" i="92"/>
  <c r="K93" i="92"/>
  <c r="K92" i="92"/>
  <c r="K91" i="92"/>
  <c r="K90" i="92"/>
  <c r="K89" i="92"/>
  <c r="K88" i="92"/>
  <c r="K87" i="92"/>
  <c r="K86" i="92"/>
  <c r="K85" i="92"/>
  <c r="K84" i="92"/>
  <c r="W83" i="92"/>
  <c r="K83" i="92"/>
  <c r="K82" i="92"/>
  <c r="K80" i="92"/>
  <c r="K79" i="92"/>
  <c r="K78" i="92"/>
  <c r="K77" i="92"/>
  <c r="K76" i="92"/>
  <c r="K75" i="92"/>
  <c r="K74" i="92"/>
  <c r="K73" i="92"/>
  <c r="K72" i="92"/>
  <c r="K71" i="92"/>
  <c r="K70" i="92"/>
  <c r="K69" i="92"/>
  <c r="K68" i="92"/>
  <c r="K67" i="92"/>
  <c r="K66" i="92"/>
  <c r="K65" i="92"/>
  <c r="K64" i="92"/>
  <c r="K63" i="92"/>
  <c r="K62" i="92"/>
  <c r="K61" i="92"/>
  <c r="K60" i="92"/>
  <c r="K59" i="92"/>
  <c r="K58" i="92"/>
  <c r="K57" i="92"/>
  <c r="K56" i="92"/>
  <c r="K55" i="92"/>
  <c r="K54" i="92"/>
  <c r="K53" i="92"/>
  <c r="K52" i="92"/>
  <c r="K51" i="92"/>
  <c r="K50" i="92"/>
  <c r="K49" i="92"/>
  <c r="K48" i="92"/>
  <c r="K47" i="92"/>
  <c r="K46" i="92"/>
  <c r="K45" i="92"/>
  <c r="K44" i="92"/>
  <c r="K43" i="92"/>
  <c r="K42" i="92"/>
  <c r="K41" i="92"/>
  <c r="K40" i="92"/>
  <c r="K39" i="92"/>
  <c r="K38" i="92"/>
  <c r="K37" i="92"/>
  <c r="K36" i="92"/>
  <c r="K35" i="92"/>
  <c r="K34" i="92"/>
  <c r="K33" i="92"/>
  <c r="K32" i="92"/>
  <c r="K31" i="92"/>
  <c r="K30" i="92"/>
  <c r="K29" i="92"/>
  <c r="K28" i="92"/>
  <c r="K27" i="92"/>
  <c r="K26" i="92"/>
  <c r="K25" i="92"/>
  <c r="K24" i="92"/>
  <c r="K23" i="92"/>
  <c r="K22" i="92"/>
  <c r="K21" i="92"/>
  <c r="K20" i="92"/>
  <c r="W19" i="92"/>
  <c r="K19" i="92"/>
  <c r="P18" i="92"/>
  <c r="K18" i="92" s="1"/>
  <c r="P17" i="92"/>
  <c r="K17" i="92" s="1"/>
  <c r="P16" i="92"/>
  <c r="P121" i="92" s="1"/>
  <c r="P15" i="92"/>
  <c r="K15" i="92" s="1"/>
  <c r="K14" i="92"/>
  <c r="K13" i="92"/>
  <c r="K12" i="92"/>
  <c r="K11" i="92"/>
  <c r="K10" i="92"/>
  <c r="P9" i="92"/>
  <c r="K9" i="92" s="1"/>
  <c r="K8" i="92"/>
  <c r="K7" i="92"/>
  <c r="K16" i="92" l="1"/>
  <c r="W18" i="92"/>
  <c r="P123" i="92"/>
  <c r="K123" i="92" s="1"/>
  <c r="K121" i="92"/>
  <c r="W20" i="92"/>
  <c r="P122" i="92"/>
  <c r="K122" i="92" s="1"/>
  <c r="K28" i="40" l="1"/>
  <c r="R15" i="41" l="1"/>
  <c r="R16" i="41"/>
  <c r="R17" i="41"/>
  <c r="R18" i="41"/>
  <c r="R19" i="41"/>
  <c r="R20" i="41"/>
  <c r="R21" i="41"/>
  <c r="P22" i="41"/>
  <c r="R23" i="41"/>
  <c r="R24" i="41"/>
  <c r="P25" i="41"/>
  <c r="R26" i="41"/>
  <c r="R27" i="41"/>
  <c r="R28" i="41"/>
  <c r="P29" i="41"/>
  <c r="J24" i="38"/>
  <c r="J16" i="38"/>
  <c r="J17" i="38"/>
  <c r="J18" i="38"/>
  <c r="J19" i="38"/>
  <c r="J20" i="38"/>
  <c r="J21" i="38"/>
  <c r="J15" i="38"/>
  <c r="P30" i="41" l="1"/>
  <c r="I16" i="81" l="1"/>
  <c r="P11" i="81" l="1"/>
  <c r="O16" i="81"/>
  <c r="L16" i="81"/>
  <c r="P12" i="81" l="1"/>
  <c r="P13" i="81"/>
  <c r="P15" i="81" l="1"/>
  <c r="R11" i="81"/>
  <c r="Q11" i="81"/>
  <c r="P14" i="81"/>
  <c r="S15" i="81"/>
  <c r="Q15" i="81"/>
  <c r="R15" i="81"/>
  <c r="R13" i="81"/>
  <c r="Q13" i="81"/>
  <c r="S13" i="81"/>
  <c r="S11" i="81"/>
  <c r="S12" i="81"/>
  <c r="R12" i="81"/>
  <c r="Q12" i="81"/>
  <c r="S14" i="81" l="1"/>
  <c r="R14" i="81"/>
  <c r="Q14" i="81"/>
  <c r="E35" i="5" l="1"/>
  <c r="J35" i="5"/>
  <c r="N35" i="5"/>
  <c r="I32" i="5"/>
  <c r="I35" i="5" s="1"/>
  <c r="L19" i="5"/>
  <c r="N24" i="6"/>
  <c r="N16" i="6"/>
  <c r="N17" i="6"/>
  <c r="N18" i="6"/>
  <c r="N19" i="6"/>
  <c r="N20" i="6"/>
  <c r="N21" i="6"/>
  <c r="N15" i="6"/>
  <c r="N27" i="74"/>
  <c r="N19" i="74"/>
  <c r="N20" i="74"/>
  <c r="N21" i="74"/>
  <c r="N22" i="74"/>
  <c r="N23" i="74"/>
  <c r="N24" i="74"/>
  <c r="N18" i="74"/>
  <c r="O48" i="37"/>
  <c r="N48" i="37"/>
  <c r="K48" i="37"/>
  <c r="L48" i="37"/>
  <c r="J48" i="37"/>
  <c r="O46" i="37"/>
  <c r="N46" i="37"/>
  <c r="K46" i="37"/>
  <c r="J46" i="37"/>
  <c r="N41" i="37"/>
  <c r="N40" i="37"/>
  <c r="N39" i="37"/>
  <c r="P34" i="37"/>
  <c r="L34" i="37"/>
  <c r="K34" i="37"/>
  <c r="J34" i="37"/>
  <c r="P33" i="37"/>
  <c r="K33" i="37"/>
  <c r="J33" i="37"/>
  <c r="P32" i="37"/>
  <c r="L32" i="37"/>
  <c r="L33" i="37"/>
  <c r="K32" i="37"/>
  <c r="J32" i="37"/>
  <c r="P20" i="37"/>
  <c r="P21" i="37"/>
  <c r="L21" i="37"/>
  <c r="K21" i="37"/>
  <c r="K24" i="37" s="1"/>
  <c r="J21" i="37"/>
  <c r="L20" i="37"/>
  <c r="K20" i="37"/>
  <c r="J20" i="37"/>
  <c r="P19" i="37"/>
  <c r="L19" i="37"/>
  <c r="K19" i="37"/>
  <c r="J19" i="37"/>
  <c r="L15" i="37"/>
  <c r="K15" i="37"/>
  <c r="J15" i="37"/>
  <c r="L14" i="37"/>
  <c r="K14" i="37"/>
  <c r="J14" i="37"/>
  <c r="L13" i="37"/>
  <c r="K13" i="37"/>
  <c r="J13" i="37"/>
  <c r="P8" i="37"/>
  <c r="O8" i="37"/>
  <c r="L8" i="37"/>
  <c r="K8" i="37"/>
  <c r="J8" i="37"/>
  <c r="P7" i="37"/>
  <c r="O7" i="37"/>
  <c r="N7" i="37"/>
  <c r="M7" i="37"/>
  <c r="L7" i="37"/>
  <c r="K7" i="37"/>
  <c r="J7" i="37"/>
  <c r="P6" i="37"/>
  <c r="O6" i="37"/>
  <c r="N6" i="37"/>
  <c r="M6" i="37"/>
  <c r="L6" i="37"/>
  <c r="K6" i="37"/>
  <c r="L37" i="37" l="1"/>
  <c r="L24" i="37"/>
  <c r="L18" i="37"/>
  <c r="P24" i="37"/>
  <c r="J24" i="37"/>
  <c r="P37" i="37"/>
  <c r="N44" i="37"/>
  <c r="K18" i="37"/>
  <c r="J11" i="37"/>
  <c r="K11" i="37"/>
  <c r="L11" i="37"/>
  <c r="O11" i="37"/>
  <c r="J37" i="37"/>
  <c r="P11" i="37"/>
  <c r="J18" i="37"/>
  <c r="K37" i="37"/>
  <c r="J6" i="37"/>
  <c r="F28" i="74" l="1"/>
  <c r="I19" i="37" s="1"/>
  <c r="L16" i="6" l="1"/>
  <c r="L17" i="6"/>
  <c r="L19" i="6"/>
  <c r="L20" i="6"/>
  <c r="L21" i="6"/>
  <c r="I16" i="6"/>
  <c r="I17" i="6"/>
  <c r="I19" i="6"/>
  <c r="I20" i="6"/>
  <c r="I21" i="6"/>
  <c r="G16" i="6"/>
  <c r="G17" i="6"/>
  <c r="G19" i="6"/>
  <c r="G20" i="6"/>
  <c r="G21" i="6"/>
  <c r="I36" i="35" l="1"/>
  <c r="G36" i="35"/>
  <c r="E34" i="35"/>
  <c r="I15" i="41"/>
  <c r="N15" i="38"/>
  <c r="K28" i="74"/>
  <c r="L30" i="35"/>
  <c r="L29" i="35"/>
  <c r="L28" i="35"/>
  <c r="L27" i="35"/>
  <c r="L26" i="35"/>
  <c r="L25" i="35"/>
  <c r="I33" i="35"/>
  <c r="I30" i="35"/>
  <c r="I29" i="35"/>
  <c r="I28" i="35"/>
  <c r="I27" i="35"/>
  <c r="I26" i="35"/>
  <c r="I25" i="35"/>
  <c r="I24" i="35"/>
  <c r="G33" i="35"/>
  <c r="G30" i="35"/>
  <c r="G29" i="35"/>
  <c r="G28" i="35"/>
  <c r="G27" i="35"/>
  <c r="G26" i="35"/>
  <c r="G25" i="35"/>
  <c r="L24" i="35"/>
  <c r="G24" i="35"/>
  <c r="F22" i="40"/>
  <c r="K22" i="5"/>
  <c r="K32" i="5" s="1"/>
  <c r="L17" i="35" s="1"/>
  <c r="H22" i="5"/>
  <c r="F22" i="5"/>
  <c r="G19" i="5" s="1"/>
  <c r="M24" i="6"/>
  <c r="M25" i="6" s="1"/>
  <c r="M16" i="6"/>
  <c r="M17" i="6"/>
  <c r="M18" i="6"/>
  <c r="M19" i="6"/>
  <c r="M20" i="6"/>
  <c r="M21" i="6"/>
  <c r="M15" i="6"/>
  <c r="J24" i="6"/>
  <c r="J25" i="6" s="1"/>
  <c r="J31" i="6" s="1"/>
  <c r="J21" i="6"/>
  <c r="J20" i="6"/>
  <c r="J19" i="6"/>
  <c r="J18" i="6"/>
  <c r="J17" i="6"/>
  <c r="J16" i="6"/>
  <c r="J15" i="6"/>
  <c r="J15" i="41"/>
  <c r="K25" i="6"/>
  <c r="H25" i="6"/>
  <c r="F25" i="6"/>
  <c r="F31" i="6" s="1"/>
  <c r="D25" i="6"/>
  <c r="D31" i="6" s="1"/>
  <c r="K22" i="6"/>
  <c r="H22" i="6"/>
  <c r="I15" i="6" s="1"/>
  <c r="F22" i="6"/>
  <c r="G15" i="6" s="1"/>
  <c r="D22" i="6"/>
  <c r="H28" i="74"/>
  <c r="D28" i="74"/>
  <c r="H25" i="38"/>
  <c r="F25" i="38"/>
  <c r="D25" i="38"/>
  <c r="H25" i="41"/>
  <c r="F25" i="41"/>
  <c r="F29" i="41" s="1"/>
  <c r="J28" i="74"/>
  <c r="J15" i="39"/>
  <c r="F25" i="74"/>
  <c r="F35" i="74" s="1"/>
  <c r="G31" i="74" s="1"/>
  <c r="M31" i="74"/>
  <c r="M22" i="6" l="1"/>
  <c r="G16" i="35"/>
  <c r="H31" i="6"/>
  <c r="I33" i="37"/>
  <c r="I18" i="6"/>
  <c r="I23" i="6"/>
  <c r="K31" i="6"/>
  <c r="N25" i="6"/>
  <c r="I34" i="37"/>
  <c r="L18" i="6"/>
  <c r="N22" i="6"/>
  <c r="L15" i="6"/>
  <c r="G22" i="6"/>
  <c r="I32" i="37"/>
  <c r="G23" i="6"/>
  <c r="G18" i="6"/>
  <c r="G25" i="6"/>
  <c r="H29" i="41"/>
  <c r="I20" i="37"/>
  <c r="M22" i="5"/>
  <c r="I19" i="5"/>
  <c r="L22" i="5"/>
  <c r="F32" i="5"/>
  <c r="H32" i="5"/>
  <c r="K35" i="5"/>
  <c r="K10" i="36"/>
  <c r="K8" i="36"/>
  <c r="K9" i="36"/>
  <c r="L8" i="36"/>
  <c r="M10" i="36"/>
  <c r="M9" i="36"/>
  <c r="N8" i="36"/>
  <c r="N9" i="36"/>
  <c r="O10" i="36"/>
  <c r="N10" i="36"/>
  <c r="O8" i="36"/>
  <c r="O9" i="36"/>
  <c r="P10" i="36"/>
  <c r="G37" i="35"/>
  <c r="I12" i="36" s="1"/>
  <c r="M8" i="36"/>
  <c r="P8" i="36"/>
  <c r="P9" i="36"/>
  <c r="J8" i="36"/>
  <c r="I37" i="35"/>
  <c r="I13" i="36" s="1"/>
  <c r="N28" i="74"/>
  <c r="I21" i="37"/>
  <c r="I24" i="37" s="1"/>
  <c r="J10" i="36"/>
  <c r="J9" i="36"/>
  <c r="E24" i="38"/>
  <c r="I9" i="36"/>
  <c r="L10" i="36"/>
  <c r="L9" i="36"/>
  <c r="G14" i="35"/>
  <c r="J22" i="6"/>
  <c r="I16" i="35"/>
  <c r="E35" i="35"/>
  <c r="D31" i="5"/>
  <c r="M29" i="5"/>
  <c r="N29" i="5"/>
  <c r="M30" i="5"/>
  <c r="J31" i="5"/>
  <c r="K31" i="5"/>
  <c r="N31" i="5" s="1"/>
  <c r="M31" i="5"/>
  <c r="D34" i="74"/>
  <c r="K34" i="74"/>
  <c r="J34" i="74"/>
  <c r="H34" i="74"/>
  <c r="F34" i="74"/>
  <c r="G34" i="74" s="1"/>
  <c r="E30" i="74"/>
  <c r="E29" i="74"/>
  <c r="G29" i="74"/>
  <c r="E25" i="35"/>
  <c r="E26" i="35"/>
  <c r="E27" i="35"/>
  <c r="E28" i="35"/>
  <c r="E29" i="35"/>
  <c r="E30" i="35"/>
  <c r="E24" i="35"/>
  <c r="R31" i="40"/>
  <c r="R32" i="40"/>
  <c r="R34" i="40"/>
  <c r="R27" i="40"/>
  <c r="E16" i="35"/>
  <c r="I25" i="6" l="1"/>
  <c r="L16" i="35"/>
  <c r="I22" i="6"/>
  <c r="I37" i="37"/>
  <c r="I31" i="6"/>
  <c r="M31" i="6"/>
  <c r="L25" i="6"/>
  <c r="G31" i="6"/>
  <c r="N31" i="6"/>
  <c r="K16" i="35"/>
  <c r="L22" i="6"/>
  <c r="F35" i="5"/>
  <c r="G25" i="5"/>
  <c r="G32" i="5" s="1"/>
  <c r="G35" i="5" s="1"/>
  <c r="G17" i="35"/>
  <c r="M32" i="5"/>
  <c r="M35" i="5" s="1"/>
  <c r="H35" i="5"/>
  <c r="I17" i="35"/>
  <c r="L32" i="5"/>
  <c r="L35" i="5" s="1"/>
  <c r="I21" i="36"/>
  <c r="N34" i="74"/>
  <c r="Q9" i="36"/>
  <c r="E31" i="35"/>
  <c r="N16" i="35" l="1"/>
  <c r="O16" i="35"/>
  <c r="K17" i="35"/>
  <c r="N17" i="35"/>
  <c r="O17" i="35"/>
  <c r="E38" i="35"/>
  <c r="E41" i="35"/>
  <c r="E42" i="35" l="1"/>
  <c r="E39" i="35"/>
  <c r="F34" i="35"/>
  <c r="F38" i="35" s="1"/>
  <c r="F25" i="35"/>
  <c r="F24" i="35"/>
  <c r="F26" i="35"/>
  <c r="F28" i="35"/>
  <c r="F33" i="35"/>
  <c r="F31" i="35"/>
  <c r="F30" i="35"/>
  <c r="F29" i="35"/>
  <c r="F27" i="35"/>
  <c r="F41" i="35" l="1"/>
  <c r="F39" i="35"/>
  <c r="R16" i="40" l="1"/>
  <c r="R17" i="40"/>
  <c r="R18" i="40"/>
  <c r="R19" i="40"/>
  <c r="R20" i="40"/>
  <c r="R21" i="40"/>
  <c r="R23" i="40"/>
  <c r="R24" i="40"/>
  <c r="R26" i="40"/>
  <c r="S31" i="40"/>
  <c r="S32" i="40"/>
  <c r="S34" i="40"/>
  <c r="R15" i="40"/>
  <c r="D28" i="40"/>
  <c r="D25" i="40"/>
  <c r="E24" i="40" s="1"/>
  <c r="S24" i="40" s="1"/>
  <c r="D22" i="40"/>
  <c r="E21" i="40" s="1"/>
  <c r="S21" i="40" s="1"/>
  <c r="D22" i="5"/>
  <c r="D32" i="5" s="1"/>
  <c r="P34" i="5"/>
  <c r="P33" i="5"/>
  <c r="P32" i="5"/>
  <c r="P22" i="5"/>
  <c r="P35" i="5" s="1"/>
  <c r="P21" i="5"/>
  <c r="P20" i="5"/>
  <c r="P19" i="5"/>
  <c r="E25" i="6"/>
  <c r="E31" i="6"/>
  <c r="E28" i="6"/>
  <c r="E27" i="6"/>
  <c r="E26" i="6"/>
  <c r="E23" i="6"/>
  <c r="E22" i="6"/>
  <c r="E21" i="6"/>
  <c r="E20" i="6"/>
  <c r="E19" i="6"/>
  <c r="E18" i="6"/>
  <c r="E17" i="6"/>
  <c r="E16" i="6"/>
  <c r="E15" i="6"/>
  <c r="D25" i="41"/>
  <c r="R25" i="41" s="1"/>
  <c r="F22" i="41"/>
  <c r="D22" i="41"/>
  <c r="E26" i="74"/>
  <c r="D25" i="74"/>
  <c r="E23" i="41" l="1"/>
  <c r="E17" i="35"/>
  <c r="E25" i="5"/>
  <c r="E18" i="40"/>
  <c r="S18" i="40" s="1"/>
  <c r="E24" i="41"/>
  <c r="E21" i="41"/>
  <c r="R22" i="41"/>
  <c r="E16" i="41"/>
  <c r="E17" i="41"/>
  <c r="G15" i="41"/>
  <c r="G16" i="41"/>
  <c r="G20" i="41"/>
  <c r="G22" i="41"/>
  <c r="G21" i="41"/>
  <c r="G19" i="41"/>
  <c r="G17" i="41"/>
  <c r="G18" i="41"/>
  <c r="E15" i="41"/>
  <c r="E18" i="41"/>
  <c r="E19" i="41"/>
  <c r="E20" i="41"/>
  <c r="E24" i="74"/>
  <c r="D35" i="74"/>
  <c r="D35" i="5"/>
  <c r="E26" i="40"/>
  <c r="S26" i="40" s="1"/>
  <c r="E17" i="40"/>
  <c r="S17" i="40" s="1"/>
  <c r="E19" i="40"/>
  <c r="S19" i="40" s="1"/>
  <c r="E20" i="40"/>
  <c r="S20" i="40" s="1"/>
  <c r="R22" i="40"/>
  <c r="D30" i="40"/>
  <c r="E15" i="40"/>
  <c r="S15" i="40" s="1"/>
  <c r="E23" i="40"/>
  <c r="S23" i="40" s="1"/>
  <c r="R25" i="40"/>
  <c r="E16" i="40"/>
  <c r="S16" i="40" s="1"/>
  <c r="E18" i="74"/>
  <c r="E27" i="74"/>
  <c r="E20" i="74"/>
  <c r="E21" i="74"/>
  <c r="E22" i="74"/>
  <c r="E23" i="74"/>
  <c r="D29" i="40"/>
  <c r="R29" i="40" s="1"/>
  <c r="E27" i="40"/>
  <c r="S27" i="40" s="1"/>
  <c r="R28" i="40"/>
  <c r="D29" i="41"/>
  <c r="E19" i="74"/>
  <c r="D28" i="38"/>
  <c r="D29" i="38" s="1"/>
  <c r="D22" i="38"/>
  <c r="E16" i="38" s="1"/>
  <c r="K28" i="39"/>
  <c r="R30" i="40" l="1"/>
  <c r="E18" i="35"/>
  <c r="R29" i="41"/>
  <c r="G15" i="35"/>
  <c r="G25" i="41"/>
  <c r="E31" i="74"/>
  <c r="E14" i="35"/>
  <c r="E34" i="74"/>
  <c r="R33" i="40"/>
  <c r="E28" i="40"/>
  <c r="S28" i="40" s="1"/>
  <c r="E25" i="40"/>
  <c r="S25" i="40" s="1"/>
  <c r="E22" i="40"/>
  <c r="S33" i="40" s="1"/>
  <c r="E26" i="41"/>
  <c r="E32" i="74"/>
  <c r="E26" i="38"/>
  <c r="E17" i="38"/>
  <c r="E18" i="38"/>
  <c r="D30" i="38"/>
  <c r="E20" i="38"/>
  <c r="E19" i="38"/>
  <c r="E21" i="38"/>
  <c r="E15" i="38"/>
  <c r="E23" i="38"/>
  <c r="S22" i="40" l="1"/>
  <c r="E30" i="40"/>
  <c r="S30" i="40" s="1"/>
  <c r="E15" i="35"/>
  <c r="R30" i="41"/>
  <c r="E13" i="35"/>
  <c r="E25" i="38"/>
  <c r="E29" i="40"/>
  <c r="S29" i="40" s="1"/>
  <c r="E22" i="41"/>
  <c r="E28" i="41"/>
  <c r="E27" i="41"/>
  <c r="E25" i="41"/>
  <c r="E29" i="41"/>
  <c r="E25" i="74"/>
  <c r="E28" i="74"/>
  <c r="E27" i="38"/>
  <c r="E22" i="38"/>
  <c r="E28" i="38"/>
  <c r="E29" i="38"/>
  <c r="E35" i="74" l="1"/>
  <c r="E30" i="38"/>
  <c r="F20" i="72" l="1"/>
  <c r="E20" i="72"/>
  <c r="D20" i="72"/>
  <c r="O40" i="35" l="1"/>
  <c r="Q33" i="37" l="1"/>
  <c r="Q32" i="37"/>
  <c r="Q34" i="37" l="1"/>
  <c r="Q37" i="37" s="1"/>
  <c r="H28" i="39"/>
  <c r="M27" i="39"/>
  <c r="J27" i="39"/>
  <c r="J28" i="39" s="1"/>
  <c r="M26" i="39"/>
  <c r="L26" i="39"/>
  <c r="K25" i="39"/>
  <c r="H25" i="39"/>
  <c r="F25" i="39"/>
  <c r="D25" i="39"/>
  <c r="E23" i="39" s="1"/>
  <c r="M24" i="39"/>
  <c r="J24" i="39"/>
  <c r="J25" i="39" s="1"/>
  <c r="M23" i="39"/>
  <c r="K22" i="39"/>
  <c r="H22" i="39"/>
  <c r="F22" i="39"/>
  <c r="D22" i="39"/>
  <c r="N21" i="39"/>
  <c r="M21" i="39"/>
  <c r="J21" i="39"/>
  <c r="N20" i="39"/>
  <c r="M20" i="39"/>
  <c r="J20" i="39"/>
  <c r="M19" i="39"/>
  <c r="J19" i="39"/>
  <c r="M18" i="39"/>
  <c r="J18" i="39"/>
  <c r="N17" i="39"/>
  <c r="M17" i="39"/>
  <c r="J17" i="39"/>
  <c r="N16" i="39"/>
  <c r="M16" i="39"/>
  <c r="J16" i="39"/>
  <c r="N15" i="39"/>
  <c r="M15" i="39"/>
  <c r="E20" i="39" l="1"/>
  <c r="E15" i="39"/>
  <c r="G24" i="39"/>
  <c r="I6" i="37"/>
  <c r="Q6" i="37" s="1"/>
  <c r="I19" i="39"/>
  <c r="I7" i="37"/>
  <c r="I11" i="37" s="1"/>
  <c r="M28" i="39"/>
  <c r="G16" i="39"/>
  <c r="G15" i="39"/>
  <c r="G20" i="39"/>
  <c r="F30" i="39"/>
  <c r="L16" i="39"/>
  <c r="I17" i="39"/>
  <c r="I15" i="39"/>
  <c r="I16" i="39"/>
  <c r="I18" i="39"/>
  <c r="I20" i="39"/>
  <c r="I21" i="39"/>
  <c r="G17" i="39"/>
  <c r="L23" i="39"/>
  <c r="M25" i="39"/>
  <c r="M29" i="39" s="1"/>
  <c r="M22" i="39"/>
  <c r="K30" i="39"/>
  <c r="E16" i="39"/>
  <c r="E21" i="39"/>
  <c r="L17" i="39"/>
  <c r="L19" i="39"/>
  <c r="L24" i="39"/>
  <c r="N25" i="39"/>
  <c r="N29" i="39" s="1"/>
  <c r="N22" i="39"/>
  <c r="L15" i="39"/>
  <c r="L18" i="39"/>
  <c r="L20" i="39"/>
  <c r="L21" i="39"/>
  <c r="I24" i="39"/>
  <c r="J22" i="39"/>
  <c r="E17" i="39"/>
  <c r="E18" i="39"/>
  <c r="E19" i="39"/>
  <c r="G18" i="39"/>
  <c r="G19" i="39"/>
  <c r="E24" i="39"/>
  <c r="G23" i="39"/>
  <c r="F29" i="39"/>
  <c r="G26" i="39" s="1"/>
  <c r="E26" i="39"/>
  <c r="G21" i="39"/>
  <c r="D30" i="39"/>
  <c r="H29" i="39"/>
  <c r="I23" i="39"/>
  <c r="E25" i="39" l="1"/>
  <c r="L25" i="39"/>
  <c r="L12" i="35"/>
  <c r="G12" i="35"/>
  <c r="H30" i="39"/>
  <c r="E12" i="35"/>
  <c r="M30" i="39"/>
  <c r="L22" i="39"/>
  <c r="L27" i="39"/>
  <c r="G27" i="39"/>
  <c r="G22" i="39"/>
  <c r="E22" i="39"/>
  <c r="E27" i="39"/>
  <c r="J29" i="39"/>
  <c r="I26" i="39"/>
  <c r="G25" i="39"/>
  <c r="J30" i="39" l="1"/>
  <c r="L30" i="39"/>
  <c r="I25" i="39"/>
  <c r="I22" i="39"/>
  <c r="I30" i="39" s="1"/>
  <c r="I12" i="35"/>
  <c r="O12" i="35" s="1"/>
  <c r="N24" i="39"/>
  <c r="N30" i="39"/>
  <c r="I27" i="39"/>
  <c r="E19" i="35"/>
  <c r="F12" i="35" s="1"/>
  <c r="N23" i="39"/>
  <c r="G30" i="39"/>
  <c r="E30" i="39"/>
  <c r="N12" i="35" l="1"/>
  <c r="K12" i="35"/>
  <c r="F17" i="35"/>
  <c r="F14" i="35"/>
  <c r="F13" i="35"/>
  <c r="F15" i="35"/>
  <c r="F16" i="35"/>
  <c r="F18" i="35"/>
  <c r="N15" i="40"/>
  <c r="N16" i="40" l="1"/>
  <c r="N17" i="40"/>
  <c r="N18" i="40"/>
  <c r="N19" i="40"/>
  <c r="N20" i="40"/>
  <c r="N21" i="40"/>
  <c r="N23" i="40"/>
  <c r="N24" i="40"/>
  <c r="N26" i="40"/>
  <c r="N31" i="40"/>
  <c r="N32" i="40"/>
  <c r="M15" i="40" l="1"/>
  <c r="L19" i="10"/>
  <c r="K19" i="10"/>
  <c r="M15" i="38"/>
  <c r="L16" i="10"/>
  <c r="L17" i="10"/>
  <c r="L21" i="10" l="1"/>
  <c r="L20" i="10"/>
  <c r="S20" i="10"/>
  <c r="R20" i="10"/>
  <c r="N20" i="10"/>
  <c r="O20" i="10"/>
  <c r="Q20" i="10"/>
  <c r="P20" i="10"/>
  <c r="G32" i="74" l="1"/>
  <c r="G30" i="74"/>
  <c r="M37" i="74"/>
  <c r="M36" i="74"/>
  <c r="M30" i="74"/>
  <c r="M34" i="74" s="1"/>
  <c r="M29" i="74"/>
  <c r="L27" i="74"/>
  <c r="H32" i="74"/>
  <c r="I29" i="74" s="1"/>
  <c r="G28" i="74"/>
  <c r="M27" i="74"/>
  <c r="J27" i="74"/>
  <c r="N26" i="74"/>
  <c r="M26" i="74"/>
  <c r="J26" i="74"/>
  <c r="K25" i="74"/>
  <c r="H25" i="74"/>
  <c r="G18" i="74"/>
  <c r="M24" i="74"/>
  <c r="J24" i="74"/>
  <c r="M23" i="74"/>
  <c r="J23" i="74"/>
  <c r="M22" i="74"/>
  <c r="J22" i="74"/>
  <c r="M21" i="74"/>
  <c r="J21" i="74"/>
  <c r="M20" i="74"/>
  <c r="J20" i="74"/>
  <c r="M19" i="74"/>
  <c r="J19" i="74"/>
  <c r="M18" i="74"/>
  <c r="J18" i="74"/>
  <c r="Q21" i="37"/>
  <c r="Q22" i="37"/>
  <c r="Q23" i="37"/>
  <c r="N25" i="74" l="1"/>
  <c r="Q19" i="37"/>
  <c r="L19" i="74"/>
  <c r="M25" i="74"/>
  <c r="G23" i="74"/>
  <c r="Q20" i="37"/>
  <c r="Q24" i="37" s="1"/>
  <c r="G25" i="74"/>
  <c r="L24" i="74"/>
  <c r="I20" i="74"/>
  <c r="I18" i="74"/>
  <c r="L23" i="74"/>
  <c r="L18" i="74"/>
  <c r="I23" i="74"/>
  <c r="M28" i="74"/>
  <c r="G22" i="74"/>
  <c r="I24" i="74"/>
  <c r="G24" i="74"/>
  <c r="L26" i="74"/>
  <c r="G26" i="74"/>
  <c r="I19" i="74"/>
  <c r="I27" i="74"/>
  <c r="L20" i="74"/>
  <c r="J25" i="74"/>
  <c r="G19" i="74"/>
  <c r="G27" i="74"/>
  <c r="L21" i="74"/>
  <c r="I26" i="74"/>
  <c r="G20" i="74"/>
  <c r="I21" i="74"/>
  <c r="L22" i="74"/>
  <c r="G21" i="74"/>
  <c r="I22" i="74"/>
  <c r="H35" i="74"/>
  <c r="I14" i="35" s="1"/>
  <c r="K32" i="74"/>
  <c r="N32" i="74" s="1"/>
  <c r="K14" i="35" l="1"/>
  <c r="I34" i="74"/>
  <c r="I31" i="74"/>
  <c r="G35" i="74"/>
  <c r="J35" i="74"/>
  <c r="L29" i="74"/>
  <c r="I30" i="74"/>
  <c r="I28" i="74"/>
  <c r="I32" i="74"/>
  <c r="I25" i="74"/>
  <c r="K35" i="74"/>
  <c r="M32" i="74"/>
  <c r="M35" i="74" s="1"/>
  <c r="L14" i="35" l="1"/>
  <c r="N35" i="74"/>
  <c r="O14" i="35"/>
  <c r="N14" i="35"/>
  <c r="L34" i="74"/>
  <c r="L31" i="74"/>
  <c r="I35" i="74"/>
  <c r="L30" i="74"/>
  <c r="L25" i="74"/>
  <c r="L28" i="74"/>
  <c r="L32" i="74"/>
  <c r="L35" i="74" l="1"/>
  <c r="N26" i="38" l="1"/>
  <c r="N27" i="38"/>
  <c r="N43" i="35" l="1"/>
  <c r="H8" i="73" l="1"/>
  <c r="H9" i="73"/>
  <c r="H10" i="73"/>
  <c r="H11" i="73"/>
  <c r="H12" i="73"/>
  <c r="H7" i="73"/>
  <c r="F13" i="73"/>
  <c r="G11" i="73" s="1"/>
  <c r="D13" i="73"/>
  <c r="E10" i="73" s="1"/>
  <c r="E7" i="73" l="1"/>
  <c r="E11" i="73"/>
  <c r="G9" i="73"/>
  <c r="E12" i="73"/>
  <c r="G7" i="73"/>
  <c r="G8" i="73"/>
  <c r="E8" i="73"/>
  <c r="G10" i="73"/>
  <c r="E9" i="73"/>
  <c r="H13" i="73"/>
  <c r="I11" i="73" s="1"/>
  <c r="G12" i="73"/>
  <c r="E13" i="73" l="1"/>
  <c r="G13" i="73"/>
  <c r="I7" i="73"/>
  <c r="I9" i="73"/>
  <c r="I10" i="73"/>
  <c r="I12" i="73"/>
  <c r="I8" i="73"/>
  <c r="D52" i="72"/>
  <c r="E52" i="72"/>
  <c r="D53" i="72"/>
  <c r="D54" i="72"/>
  <c r="E54" i="72"/>
  <c r="D55" i="72"/>
  <c r="E55" i="72"/>
  <c r="E50" i="72"/>
  <c r="D50" i="72"/>
  <c r="C51" i="72"/>
  <c r="C52" i="72"/>
  <c r="C53" i="72"/>
  <c r="C54" i="72"/>
  <c r="C55" i="72"/>
  <c r="C56" i="72"/>
  <c r="C50" i="72"/>
  <c r="I13" i="73" l="1"/>
  <c r="G46" i="72"/>
  <c r="E46" i="72"/>
  <c r="F41" i="72"/>
  <c r="F43" i="72"/>
  <c r="F44" i="72"/>
  <c r="F39" i="72"/>
  <c r="D41" i="72"/>
  <c r="D43" i="72"/>
  <c r="D44" i="72"/>
  <c r="D39" i="72"/>
  <c r="C40" i="72"/>
  <c r="C41" i="72"/>
  <c r="C42" i="72"/>
  <c r="C43" i="72"/>
  <c r="C44" i="72"/>
  <c r="C45" i="72"/>
  <c r="C39" i="72"/>
  <c r="N34" i="40"/>
  <c r="N16" i="38"/>
  <c r="N17" i="38"/>
  <c r="N21" i="38"/>
  <c r="N24" i="38"/>
  <c r="D4" i="71"/>
  <c r="D5" i="71"/>
  <c r="D6" i="71"/>
  <c r="I6" i="71" s="1"/>
  <c r="D7" i="71"/>
  <c r="I7" i="71" s="1"/>
  <c r="D2" i="71"/>
  <c r="I2" i="71" s="1"/>
  <c r="C3" i="71"/>
  <c r="C4" i="71"/>
  <c r="C5" i="71"/>
  <c r="C6" i="71"/>
  <c r="C7" i="71"/>
  <c r="C8" i="71"/>
  <c r="C10" i="71"/>
  <c r="C2" i="71"/>
  <c r="F106" i="71"/>
  <c r="E106" i="71"/>
  <c r="H88" i="71"/>
  <c r="I88" i="71"/>
  <c r="I87" i="71"/>
  <c r="I86" i="71"/>
  <c r="I85" i="71"/>
  <c r="I84" i="71"/>
  <c r="I83" i="71"/>
  <c r="I82" i="71"/>
  <c r="I81" i="71"/>
  <c r="I80" i="71"/>
  <c r="I75" i="71"/>
  <c r="H75" i="71"/>
  <c r="I74" i="71"/>
  <c r="H74" i="71"/>
  <c r="I73" i="71"/>
  <c r="H73" i="71"/>
  <c r="I72" i="71"/>
  <c r="H72" i="71"/>
  <c r="E76" i="71"/>
  <c r="I70" i="71"/>
  <c r="I69" i="71"/>
  <c r="I68" i="71"/>
  <c r="I67" i="71"/>
  <c r="G62" i="71"/>
  <c r="I61" i="71"/>
  <c r="I60" i="71"/>
  <c r="I58" i="71"/>
  <c r="I56" i="71"/>
  <c r="H49" i="71"/>
  <c r="I47" i="71"/>
  <c r="I46" i="71"/>
  <c r="I45" i="71"/>
  <c r="I43" i="71"/>
  <c r="I42" i="71"/>
  <c r="I41" i="71"/>
  <c r="H36" i="71"/>
  <c r="I34" i="71"/>
  <c r="I32" i="71"/>
  <c r="I31" i="71"/>
  <c r="I28" i="71"/>
  <c r="I23" i="71"/>
  <c r="I22" i="71"/>
  <c r="I21" i="71"/>
  <c r="I19" i="71"/>
  <c r="H9" i="71"/>
  <c r="H8" i="71"/>
  <c r="H7" i="71"/>
  <c r="H6" i="71"/>
  <c r="H5" i="71"/>
  <c r="G5" i="71"/>
  <c r="G4" i="71"/>
  <c r="H4" i="71"/>
  <c r="G3" i="71"/>
  <c r="E11" i="71"/>
  <c r="H17" i="71" l="1"/>
  <c r="G20" i="71"/>
  <c r="G86" i="71"/>
  <c r="G15" i="71"/>
  <c r="E94" i="71"/>
  <c r="H48" i="71"/>
  <c r="H80" i="71"/>
  <c r="G17" i="71"/>
  <c r="H60" i="71"/>
  <c r="G55" i="71"/>
  <c r="H59" i="71"/>
  <c r="H23" i="71"/>
  <c r="E101" i="71"/>
  <c r="H33" i="71"/>
  <c r="G44" i="71"/>
  <c r="G48" i="71"/>
  <c r="H87" i="71"/>
  <c r="H42" i="71"/>
  <c r="H46" i="71"/>
  <c r="H84" i="71"/>
  <c r="H19" i="71"/>
  <c r="H45" i="71"/>
  <c r="H43" i="71"/>
  <c r="F94" i="71"/>
  <c r="H94" i="71" s="1"/>
  <c r="I49" i="71"/>
  <c r="F100" i="71"/>
  <c r="H82" i="71"/>
  <c r="E95" i="71"/>
  <c r="H18" i="71"/>
  <c r="H22" i="71"/>
  <c r="G36" i="71"/>
  <c r="G54" i="71"/>
  <c r="G58" i="71"/>
  <c r="G80" i="71"/>
  <c r="F96" i="71"/>
  <c r="H55" i="71"/>
  <c r="H20" i="71"/>
  <c r="H34" i="71"/>
  <c r="G49" i="71"/>
  <c r="G82" i="71"/>
  <c r="F93" i="71"/>
  <c r="G18" i="71"/>
  <c r="H30" i="71"/>
  <c r="G32" i="71"/>
  <c r="H44" i="71"/>
  <c r="H47" i="71"/>
  <c r="E50" i="71"/>
  <c r="G56" i="71"/>
  <c r="G71" i="71"/>
  <c r="G76" i="71" s="1"/>
  <c r="H83" i="71"/>
  <c r="G88" i="71"/>
  <c r="H41" i="71"/>
  <c r="E24" i="71"/>
  <c r="G30" i="71"/>
  <c r="E100" i="71"/>
  <c r="G42" i="71"/>
  <c r="I48" i="71"/>
  <c r="E63" i="71"/>
  <c r="H62" i="71"/>
  <c r="H71" i="71"/>
  <c r="H32" i="71"/>
  <c r="H16" i="71"/>
  <c r="H21" i="71"/>
  <c r="I30" i="71"/>
  <c r="H35" i="71"/>
  <c r="H57" i="71"/>
  <c r="F63" i="71"/>
  <c r="H81" i="71"/>
  <c r="E89" i="71"/>
  <c r="E107" i="71" s="1"/>
  <c r="H56" i="71"/>
  <c r="F37" i="71"/>
  <c r="H31" i="71"/>
  <c r="G35" i="71"/>
  <c r="F76" i="71"/>
  <c r="H76" i="71" s="1"/>
  <c r="G84" i="71"/>
  <c r="H86" i="71"/>
  <c r="F101" i="71"/>
  <c r="H101" i="71" s="1"/>
  <c r="E99" i="71"/>
  <c r="G34" i="71"/>
  <c r="H85" i="71"/>
  <c r="G19" i="71"/>
  <c r="G28" i="71"/>
  <c r="G43" i="71"/>
  <c r="G46" i="71"/>
  <c r="I57" i="71"/>
  <c r="G60" i="71"/>
  <c r="G23" i="71"/>
  <c r="G16" i="71"/>
  <c r="F95" i="71"/>
  <c r="I20" i="71"/>
  <c r="H29" i="71"/>
  <c r="F89" i="71"/>
  <c r="I89" i="71"/>
  <c r="F11" i="71"/>
  <c r="I59" i="71"/>
  <c r="F99" i="71"/>
  <c r="I5" i="71"/>
  <c r="G10" i="71"/>
  <c r="I17" i="71"/>
  <c r="I18" i="71"/>
  <c r="F24" i="71"/>
  <c r="H28" i="71"/>
  <c r="I44" i="71"/>
  <c r="G47" i="71"/>
  <c r="F50" i="71"/>
  <c r="H54" i="71"/>
  <c r="H58" i="71"/>
  <c r="I62" i="71"/>
  <c r="I71" i="71"/>
  <c r="I97" i="71" s="1"/>
  <c r="G81" i="71"/>
  <c r="G85" i="71"/>
  <c r="E97" i="71"/>
  <c r="F98" i="71"/>
  <c r="H10" i="71"/>
  <c r="H15" i="71"/>
  <c r="I16" i="71"/>
  <c r="G31" i="71"/>
  <c r="I35" i="71"/>
  <c r="I36" i="71"/>
  <c r="I54" i="71"/>
  <c r="G57" i="71"/>
  <c r="G61" i="71"/>
  <c r="E96" i="71"/>
  <c r="F97" i="71"/>
  <c r="I29" i="71"/>
  <c r="I33" i="71"/>
  <c r="I55" i="71"/>
  <c r="E98" i="71"/>
  <c r="G2" i="71"/>
  <c r="H3" i="71"/>
  <c r="I4" i="71"/>
  <c r="H2" i="71"/>
  <c r="G9" i="71"/>
  <c r="I10" i="71"/>
  <c r="I15" i="71"/>
  <c r="H61" i="71"/>
  <c r="E37" i="71"/>
  <c r="G7" i="71"/>
  <c r="G21" i="71"/>
  <c r="G22" i="71"/>
  <c r="G41" i="71"/>
  <c r="G45" i="71"/>
  <c r="G83" i="71"/>
  <c r="G87" i="71"/>
  <c r="E93" i="71"/>
  <c r="G29" i="71"/>
  <c r="G8" i="71"/>
  <c r="G6" i="71"/>
  <c r="G33" i="71"/>
  <c r="G59" i="71"/>
  <c r="I50" i="71" l="1"/>
  <c r="H24" i="71"/>
  <c r="H96" i="71"/>
  <c r="H95" i="71"/>
  <c r="I98" i="71"/>
  <c r="H63" i="71"/>
  <c r="H100" i="71"/>
  <c r="G95" i="71"/>
  <c r="G101" i="71"/>
  <c r="H89" i="71"/>
  <c r="H37" i="71"/>
  <c r="G50" i="71"/>
  <c r="G63" i="71"/>
  <c r="H50" i="71"/>
  <c r="G24" i="71"/>
  <c r="G100" i="71"/>
  <c r="F107" i="71"/>
  <c r="H99" i="71"/>
  <c r="G97" i="71"/>
  <c r="G37" i="71"/>
  <c r="G98" i="71"/>
  <c r="I37" i="71"/>
  <c r="G96" i="71"/>
  <c r="H98" i="71"/>
  <c r="I24" i="71"/>
  <c r="G99" i="71"/>
  <c r="E103" i="71"/>
  <c r="G93" i="71"/>
  <c r="G11" i="71"/>
  <c r="I101" i="71"/>
  <c r="I63" i="71"/>
  <c r="G94" i="71"/>
  <c r="H11" i="71"/>
  <c r="F103" i="71"/>
  <c r="E102" i="71"/>
  <c r="I93" i="71"/>
  <c r="I96" i="71"/>
  <c r="H93" i="71"/>
  <c r="I76" i="71"/>
  <c r="H97" i="71"/>
  <c r="F102" i="71"/>
  <c r="I95" i="71"/>
  <c r="G89" i="71"/>
  <c r="H103" i="71" l="1"/>
  <c r="F104" i="71"/>
  <c r="F105" i="71" s="1"/>
  <c r="H102" i="71"/>
  <c r="H104" i="71" s="1"/>
  <c r="G103" i="71"/>
  <c r="G102" i="71"/>
  <c r="E104" i="71"/>
  <c r="E105" i="71" s="1"/>
  <c r="G104" i="71" l="1"/>
  <c r="D7" i="72" l="1"/>
  <c r="E7" i="72"/>
  <c r="D9" i="72"/>
  <c r="E9" i="72"/>
  <c r="D10" i="72"/>
  <c r="E10" i="72"/>
  <c r="E5" i="72"/>
  <c r="D5" i="72"/>
  <c r="K25" i="40" l="1"/>
  <c r="M53" i="37"/>
  <c r="M54" i="37"/>
  <c r="M52" i="37"/>
  <c r="K36" i="7"/>
  <c r="N45" i="7"/>
  <c r="N48" i="7"/>
  <c r="N47" i="7"/>
  <c r="N46" i="7"/>
  <c r="N41" i="7"/>
  <c r="M41" i="7"/>
  <c r="I44" i="7"/>
  <c r="E39" i="7"/>
  <c r="E44" i="7" s="1"/>
  <c r="G39" i="7"/>
  <c r="G44" i="7" s="1"/>
  <c r="I39" i="7"/>
  <c r="L39" i="7"/>
  <c r="L44" i="7" s="1"/>
  <c r="J24" i="7"/>
  <c r="J15" i="7"/>
  <c r="J16" i="7"/>
  <c r="J17" i="7"/>
  <c r="J18" i="7"/>
  <c r="J19" i="7"/>
  <c r="J20" i="7"/>
  <c r="J21" i="7"/>
  <c r="L38" i="7"/>
  <c r="I38" i="7"/>
  <c r="G38" i="7"/>
  <c r="E38" i="7"/>
  <c r="F30" i="7"/>
  <c r="F33" i="7" s="1"/>
  <c r="E29" i="7"/>
  <c r="G29" i="7"/>
  <c r="H29" i="7"/>
  <c r="I29" i="7"/>
  <c r="K29" i="7"/>
  <c r="L29" i="7"/>
  <c r="K25" i="7"/>
  <c r="K39" i="7" s="1"/>
  <c r="K44" i="7" s="1"/>
  <c r="H25" i="7"/>
  <c r="H39" i="7" s="1"/>
  <c r="H44" i="7" s="1"/>
  <c r="F25" i="7"/>
  <c r="F29" i="7" s="1"/>
  <c r="D25" i="7"/>
  <c r="D29" i="7" s="1"/>
  <c r="N21" i="7"/>
  <c r="N20" i="7"/>
  <c r="N17" i="7"/>
  <c r="N16" i="7"/>
  <c r="N15" i="7"/>
  <c r="M15" i="7"/>
  <c r="M16" i="7"/>
  <c r="M17" i="7"/>
  <c r="M18" i="7"/>
  <c r="M19" i="7"/>
  <c r="M20" i="7"/>
  <c r="M21" i="7"/>
  <c r="K22" i="7"/>
  <c r="H22" i="7"/>
  <c r="F22" i="7"/>
  <c r="F49" i="7" s="1"/>
  <c r="D22" i="7"/>
  <c r="D36" i="7" s="1"/>
  <c r="P48" i="37"/>
  <c r="P47" i="37"/>
  <c r="P46" i="37"/>
  <c r="H22" i="40"/>
  <c r="H25" i="40"/>
  <c r="H28" i="40"/>
  <c r="N28" i="40" s="1"/>
  <c r="H22" i="38"/>
  <c r="O54" i="37"/>
  <c r="O47" i="37"/>
  <c r="N47" i="37"/>
  <c r="L47" i="37"/>
  <c r="L51" i="37" s="1"/>
  <c r="L46" i="37"/>
  <c r="K47" i="37"/>
  <c r="K51" i="37" s="1"/>
  <c r="J47" i="37"/>
  <c r="J51" i="37" s="1"/>
  <c r="I25" i="37"/>
  <c r="P27" i="37"/>
  <c r="L27" i="37"/>
  <c r="K27" i="37"/>
  <c r="J27" i="37"/>
  <c r="P26" i="37"/>
  <c r="L26" i="37"/>
  <c r="K26" i="37"/>
  <c r="P25" i="37"/>
  <c r="L25" i="37"/>
  <c r="K25" i="37"/>
  <c r="J25" i="37"/>
  <c r="P15" i="37"/>
  <c r="P14" i="37"/>
  <c r="P13" i="37"/>
  <c r="O53" i="37"/>
  <c r="O52" i="37"/>
  <c r="I15" i="7" l="1"/>
  <c r="I21" i="7"/>
  <c r="I19" i="7"/>
  <c r="I20" i="7"/>
  <c r="I18" i="7"/>
  <c r="I17" i="7"/>
  <c r="I16" i="7"/>
  <c r="D39" i="7"/>
  <c r="D44" i="7" s="1"/>
  <c r="D49" i="7"/>
  <c r="L16" i="7"/>
  <c r="L20" i="7"/>
  <c r="L17" i="7"/>
  <c r="L15" i="7"/>
  <c r="L21" i="7"/>
  <c r="L19" i="7"/>
  <c r="L18" i="7"/>
  <c r="K30" i="7"/>
  <c r="K33" i="7" s="1"/>
  <c r="F39" i="7"/>
  <c r="F44" i="7" s="1"/>
  <c r="N22" i="7"/>
  <c r="H30" i="7"/>
  <c r="H33" i="7" s="1"/>
  <c r="D30" i="7"/>
  <c r="D33" i="7" s="1"/>
  <c r="K49" i="7"/>
  <c r="H49" i="7"/>
  <c r="E19" i="7"/>
  <c r="E15" i="7"/>
  <c r="E18" i="7"/>
  <c r="E17" i="7"/>
  <c r="E16" i="7"/>
  <c r="E21" i="7"/>
  <c r="E20" i="7"/>
  <c r="H36" i="7"/>
  <c r="G21" i="7"/>
  <c r="G20" i="7"/>
  <c r="G17" i="7"/>
  <c r="G19" i="7"/>
  <c r="G18" i="7"/>
  <c r="G15" i="7"/>
  <c r="G16" i="7"/>
  <c r="F36" i="7"/>
  <c r="H47" i="37"/>
  <c r="P30" i="37"/>
  <c r="N51" i="37"/>
  <c r="O51" i="37"/>
  <c r="O59" i="37"/>
  <c r="K30" i="37"/>
  <c r="P18" i="37"/>
  <c r="L30" i="37"/>
  <c r="H30" i="40"/>
  <c r="I18" i="35" s="1"/>
  <c r="I14" i="37"/>
  <c r="I47" i="37"/>
  <c r="H29" i="40"/>
  <c r="Q8" i="37"/>
  <c r="N52" i="37"/>
  <c r="G15" i="40"/>
  <c r="G19" i="40"/>
  <c r="G18" i="40"/>
  <c r="G17" i="40"/>
  <c r="G16" i="40"/>
  <c r="I27" i="40"/>
  <c r="I26" i="40"/>
  <c r="I48" i="37"/>
  <c r="L24" i="40"/>
  <c r="L23" i="40"/>
  <c r="N25" i="40"/>
  <c r="E22" i="72" s="1"/>
  <c r="I23" i="40"/>
  <c r="I24" i="40"/>
  <c r="I20" i="40"/>
  <c r="I19" i="40"/>
  <c r="I18" i="40"/>
  <c r="I17" i="40"/>
  <c r="I15" i="40"/>
  <c r="I16" i="40"/>
  <c r="I21" i="40"/>
  <c r="I20" i="38"/>
  <c r="I19" i="38"/>
  <c r="I18" i="38"/>
  <c r="I17" i="38"/>
  <c r="I15" i="38"/>
  <c r="I16" i="38"/>
  <c r="I21" i="38"/>
  <c r="I24" i="38"/>
  <c r="I23" i="38"/>
  <c r="P52" i="37"/>
  <c r="P54" i="37"/>
  <c r="E51" i="72"/>
  <c r="K53" i="37"/>
  <c r="L53" i="37"/>
  <c r="P53" i="37"/>
  <c r="J54" i="37"/>
  <c r="K52" i="37"/>
  <c r="K54" i="37"/>
  <c r="L52" i="37"/>
  <c r="L54" i="37"/>
  <c r="J52" i="37"/>
  <c r="Q7" i="37"/>
  <c r="N49" i="7" l="1"/>
  <c r="L22" i="7"/>
  <c r="D18" i="72"/>
  <c r="N36" i="7"/>
  <c r="Q47" i="37"/>
  <c r="G22" i="7"/>
  <c r="E22" i="7"/>
  <c r="I22" i="7"/>
  <c r="K59" i="37"/>
  <c r="L59" i="37"/>
  <c r="P59" i="37"/>
  <c r="I51" i="37"/>
  <c r="Q11" i="37"/>
  <c r="E56" i="72"/>
  <c r="D45" i="72"/>
  <c r="D11" i="72"/>
  <c r="I49" i="7" l="1"/>
  <c r="I30" i="7"/>
  <c r="I33" i="7" s="1"/>
  <c r="I36" i="7"/>
  <c r="E36" i="7"/>
  <c r="E49" i="7"/>
  <c r="E30" i="7"/>
  <c r="E33" i="7" s="1"/>
  <c r="L36" i="7"/>
  <c r="L30" i="7"/>
  <c r="L33" i="7" s="1"/>
  <c r="L49" i="7"/>
  <c r="G36" i="7"/>
  <c r="G30" i="7"/>
  <c r="G33" i="7" s="1"/>
  <c r="G49" i="7"/>
  <c r="J32" i="40"/>
  <c r="J31" i="40"/>
  <c r="M28" i="40"/>
  <c r="K29" i="40"/>
  <c r="N29" i="40" s="1"/>
  <c r="F28" i="40"/>
  <c r="J26" i="40"/>
  <c r="M25" i="40"/>
  <c r="F25" i="40"/>
  <c r="J24" i="40"/>
  <c r="J23" i="40"/>
  <c r="K22" i="40"/>
  <c r="M21" i="40"/>
  <c r="J21" i="40"/>
  <c r="M20" i="40"/>
  <c r="J20" i="40"/>
  <c r="M19" i="40"/>
  <c r="J19" i="40"/>
  <c r="M18" i="40"/>
  <c r="J18" i="40"/>
  <c r="M17" i="40"/>
  <c r="J17" i="40"/>
  <c r="M16" i="40"/>
  <c r="J16" i="40"/>
  <c r="J15" i="40"/>
  <c r="K30" i="40" l="1"/>
  <c r="J28" i="40"/>
  <c r="M29" i="40"/>
  <c r="J25" i="40"/>
  <c r="F29" i="40"/>
  <c r="G23" i="40"/>
  <c r="G24" i="40"/>
  <c r="I46" i="37"/>
  <c r="F30" i="40"/>
  <c r="L16" i="40"/>
  <c r="L15" i="40"/>
  <c r="L21" i="40"/>
  <c r="L18" i="40"/>
  <c r="L20" i="40"/>
  <c r="L19" i="40"/>
  <c r="L17" i="40"/>
  <c r="N22" i="40"/>
  <c r="G27" i="40"/>
  <c r="G26" i="40"/>
  <c r="H46" i="37"/>
  <c r="J22" i="40"/>
  <c r="L26" i="40"/>
  <c r="L27" i="40"/>
  <c r="H48" i="37"/>
  <c r="M22" i="40"/>
  <c r="M30" i="40" s="1"/>
  <c r="J29" i="40" l="1"/>
  <c r="L18" i="35"/>
  <c r="N30" i="40"/>
  <c r="D22" i="72"/>
  <c r="Q48" i="37"/>
  <c r="Q51" i="37" s="1"/>
  <c r="H51" i="37"/>
  <c r="Q46" i="37"/>
  <c r="G18" i="35"/>
  <c r="J30" i="40"/>
  <c r="G22" i="40"/>
  <c r="H45" i="72"/>
  <c r="I22" i="40"/>
  <c r="I28" i="40"/>
  <c r="I25" i="40"/>
  <c r="N18" i="35" l="1"/>
  <c r="O18" i="35"/>
  <c r="E11" i="72"/>
  <c r="F45" i="72"/>
  <c r="D56" i="72"/>
  <c r="D8" i="71"/>
  <c r="I8" i="71" s="1"/>
  <c r="I99" i="71" s="1"/>
  <c r="K18" i="35"/>
  <c r="G25" i="40"/>
  <c r="G28" i="40"/>
  <c r="L25" i="40"/>
  <c r="L28" i="40"/>
  <c r="L22" i="40"/>
  <c r="I29" i="40"/>
  <c r="I30" i="40"/>
  <c r="K25" i="41"/>
  <c r="N24" i="41"/>
  <c r="M24" i="41"/>
  <c r="Q24" i="41" s="1"/>
  <c r="L24" i="41"/>
  <c r="J24" i="41"/>
  <c r="J25" i="41" s="1"/>
  <c r="J29" i="41" s="1"/>
  <c r="I24" i="41"/>
  <c r="M23" i="41"/>
  <c r="K22" i="41"/>
  <c r="N21" i="41"/>
  <c r="M21" i="41"/>
  <c r="Q21" i="41" s="1"/>
  <c r="L21" i="41"/>
  <c r="J21" i="41"/>
  <c r="I21" i="41"/>
  <c r="M20" i="41"/>
  <c r="J20" i="41"/>
  <c r="M19" i="41"/>
  <c r="J19" i="41"/>
  <c r="M18" i="41"/>
  <c r="J18" i="41"/>
  <c r="N17" i="41"/>
  <c r="M17" i="41"/>
  <c r="Q17" i="41" s="1"/>
  <c r="L17" i="41"/>
  <c r="J17" i="41"/>
  <c r="I17" i="41"/>
  <c r="N16" i="41"/>
  <c r="M16" i="41"/>
  <c r="Q16" i="41" s="1"/>
  <c r="L16" i="41"/>
  <c r="J16" i="41"/>
  <c r="I16" i="41"/>
  <c r="J26" i="37"/>
  <c r="N25" i="41" l="1"/>
  <c r="G29" i="40"/>
  <c r="G30" i="40"/>
  <c r="J53" i="37"/>
  <c r="J59" i="37" s="1"/>
  <c r="J30" i="37"/>
  <c r="L29" i="40"/>
  <c r="L30" i="40"/>
  <c r="J22" i="41"/>
  <c r="L15" i="41"/>
  <c r="H22" i="41"/>
  <c r="I22" i="41" s="1"/>
  <c r="I26" i="37"/>
  <c r="M15" i="41"/>
  <c r="Q15" i="41" s="1"/>
  <c r="I25" i="41"/>
  <c r="N15" i="41"/>
  <c r="M25" i="41"/>
  <c r="Q25" i="41" s="1"/>
  <c r="L25" i="41"/>
  <c r="I27" i="37"/>
  <c r="E19" i="72"/>
  <c r="I53" i="37" l="1"/>
  <c r="Q27" i="37"/>
  <c r="I30" i="37"/>
  <c r="M22" i="41"/>
  <c r="Q22" i="41" s="1"/>
  <c r="M29" i="41"/>
  <c r="Q29" i="41" s="1"/>
  <c r="L29" i="41"/>
  <c r="I29" i="41"/>
  <c r="I15" i="35"/>
  <c r="N29" i="41"/>
  <c r="L22" i="41"/>
  <c r="N22" i="41"/>
  <c r="D19" i="72" s="1"/>
  <c r="K15" i="35" l="1"/>
  <c r="E53" i="72"/>
  <c r="E57" i="72" s="1"/>
  <c r="D42" i="72"/>
  <c r="D8" i="72"/>
  <c r="L15" i="35"/>
  <c r="N15" i="35" s="1"/>
  <c r="F19" i="72"/>
  <c r="Q30" i="41" l="1"/>
  <c r="O15" i="35"/>
  <c r="F42" i="72"/>
  <c r="E8" i="72"/>
  <c r="K28" i="38"/>
  <c r="F28" i="38"/>
  <c r="H13" i="37" s="1"/>
  <c r="H28" i="38"/>
  <c r="M26" i="38"/>
  <c r="J26" i="38"/>
  <c r="K25" i="38"/>
  <c r="M24" i="38"/>
  <c r="M23" i="38"/>
  <c r="K22" i="38"/>
  <c r="F22" i="38"/>
  <c r="M21" i="38"/>
  <c r="M20" i="38"/>
  <c r="M19" i="38"/>
  <c r="M18" i="38"/>
  <c r="M17" i="38"/>
  <c r="M16" i="38"/>
  <c r="H29" i="38" l="1"/>
  <c r="I15" i="37"/>
  <c r="I54" i="37" s="1"/>
  <c r="I59" i="37" s="1"/>
  <c r="N25" i="38"/>
  <c r="E17" i="72" s="1"/>
  <c r="K29" i="38"/>
  <c r="N29" i="38" s="1"/>
  <c r="F29" i="38"/>
  <c r="F30" i="38" s="1"/>
  <c r="G13" i="35" s="1"/>
  <c r="H15" i="37"/>
  <c r="I13" i="37"/>
  <c r="G23" i="38"/>
  <c r="L24" i="38"/>
  <c r="L23" i="38"/>
  <c r="G16" i="38"/>
  <c r="G15" i="38"/>
  <c r="G21" i="38"/>
  <c r="G20" i="38"/>
  <c r="G19" i="38"/>
  <c r="G18" i="38"/>
  <c r="G17" i="38"/>
  <c r="N22" i="38"/>
  <c r="L21" i="38"/>
  <c r="L20" i="38"/>
  <c r="L19" i="38"/>
  <c r="L18" i="38"/>
  <c r="L17" i="38"/>
  <c r="L16" i="38"/>
  <c r="L15" i="38"/>
  <c r="M22" i="38"/>
  <c r="J22" i="38"/>
  <c r="M25" i="38"/>
  <c r="H14" i="37"/>
  <c r="M27" i="38"/>
  <c r="M28" i="38" s="1"/>
  <c r="J27" i="38"/>
  <c r="J28" i="38" s="1"/>
  <c r="I13" i="35" l="1"/>
  <c r="D17" i="72"/>
  <c r="H53" i="37"/>
  <c r="I52" i="37"/>
  <c r="H54" i="37"/>
  <c r="H18" i="37"/>
  <c r="H52" i="37"/>
  <c r="Q13" i="37"/>
  <c r="G26" i="38"/>
  <c r="G19" i="35"/>
  <c r="H13" i="35" s="1"/>
  <c r="D51" i="72"/>
  <c r="D3" i="71"/>
  <c r="I3" i="71" s="1"/>
  <c r="I94" i="71" s="1"/>
  <c r="K13" i="35"/>
  <c r="K19" i="35" s="1"/>
  <c r="I19" i="35"/>
  <c r="J13" i="35" s="1"/>
  <c r="M29" i="38"/>
  <c r="L26" i="38"/>
  <c r="G22" i="38"/>
  <c r="I29" i="38"/>
  <c r="I26" i="38"/>
  <c r="Q14" i="37"/>
  <c r="H59" i="37" l="1"/>
  <c r="J14" i="35"/>
  <c r="J15" i="35"/>
  <c r="J16" i="35"/>
  <c r="J18" i="35"/>
  <c r="J17" i="35"/>
  <c r="J12" i="35"/>
  <c r="D57" i="72"/>
  <c r="G51" i="72"/>
  <c r="H51" i="72"/>
  <c r="H18" i="35"/>
  <c r="H15" i="35"/>
  <c r="H17" i="35"/>
  <c r="H12" i="35"/>
  <c r="H16" i="35"/>
  <c r="H14" i="35"/>
  <c r="L13" i="35"/>
  <c r="G29" i="38"/>
  <c r="G25" i="38"/>
  <c r="G28" i="38"/>
  <c r="D40" i="72"/>
  <c r="D6" i="72"/>
  <c r="I27" i="38"/>
  <c r="I22" i="38"/>
  <c r="I25" i="38"/>
  <c r="I28" i="38"/>
  <c r="L27" i="38"/>
  <c r="L28" i="38"/>
  <c r="L25" i="38"/>
  <c r="L29" i="38"/>
  <c r="L22" i="38"/>
  <c r="F17" i="72" l="1"/>
  <c r="G30" i="38"/>
  <c r="N13" i="35"/>
  <c r="N19" i="35" s="1"/>
  <c r="O13" i="35"/>
  <c r="L19" i="35"/>
  <c r="F40" i="72"/>
  <c r="E6" i="72"/>
  <c r="J23" i="38"/>
  <c r="M13" i="35" l="1"/>
  <c r="M18" i="35"/>
  <c r="M14" i="35"/>
  <c r="M15" i="35"/>
  <c r="M17" i="35"/>
  <c r="M12" i="35"/>
  <c r="M16" i="35"/>
  <c r="O19" i="35"/>
  <c r="J25" i="38"/>
  <c r="F51" i="72" s="1"/>
  <c r="J29" i="38" l="1"/>
  <c r="T15" i="12"/>
  <c r="P12" i="12"/>
  <c r="T12" i="12" s="1"/>
  <c r="T11" i="12"/>
  <c r="T10" i="12"/>
  <c r="T8" i="12"/>
  <c r="K28" i="5"/>
  <c r="N28" i="5" s="1"/>
  <c r="J28" i="5"/>
  <c r="K27" i="5"/>
  <c r="J27" i="5"/>
  <c r="K26" i="5"/>
  <c r="N26" i="5" s="1"/>
  <c r="J26" i="5"/>
  <c r="K25" i="5"/>
  <c r="M25" i="5" s="1"/>
  <c r="P25" i="5" s="1"/>
  <c r="J25" i="5"/>
  <c r="K24" i="5"/>
  <c r="J24" i="5"/>
  <c r="K23" i="5"/>
  <c r="M23" i="5" s="1"/>
  <c r="P23" i="5" s="1"/>
  <c r="J23" i="5"/>
  <c r="M27" i="5" l="1"/>
  <c r="P27" i="5" s="1"/>
  <c r="L36" i="35"/>
  <c r="L33" i="35"/>
  <c r="N53" i="37"/>
  <c r="P13" i="12"/>
  <c r="T13" i="12" s="1"/>
  <c r="T9" i="12"/>
  <c r="P14" i="12"/>
  <c r="P31" i="5"/>
  <c r="N25" i="5"/>
  <c r="N27" i="5"/>
  <c r="M26" i="5"/>
  <c r="P26" i="5" s="1"/>
  <c r="M24" i="5"/>
  <c r="P24" i="5" s="1"/>
  <c r="M28" i="5"/>
  <c r="P28" i="5" s="1"/>
  <c r="P17" i="12" l="1"/>
  <c r="T17" i="12" s="1"/>
  <c r="P16" i="12"/>
  <c r="O33" i="35"/>
  <c r="T16" i="12"/>
  <c r="T14" i="12"/>
  <c r="D21" i="72"/>
  <c r="F21" i="72" l="1"/>
  <c r="N54" i="37"/>
  <c r="N59" i="37" s="1"/>
  <c r="Q10" i="37" l="1"/>
  <c r="F50" i="72" l="1"/>
  <c r="Q12" i="37"/>
  <c r="Q12" i="36"/>
  <c r="J20" i="36"/>
  <c r="K20" i="36"/>
  <c r="L20" i="36"/>
  <c r="M20" i="36"/>
  <c r="N20" i="36"/>
  <c r="O20" i="36"/>
  <c r="P20" i="36"/>
  <c r="J21" i="36"/>
  <c r="K21" i="36"/>
  <c r="L21" i="36"/>
  <c r="M21" i="36"/>
  <c r="N21" i="36"/>
  <c r="O21" i="36"/>
  <c r="P21" i="36"/>
  <c r="J22" i="36"/>
  <c r="K22" i="36"/>
  <c r="L22" i="36"/>
  <c r="M22" i="36"/>
  <c r="N22" i="36"/>
  <c r="O22" i="36"/>
  <c r="P22" i="36"/>
  <c r="H21" i="36"/>
  <c r="H22" i="36"/>
  <c r="Q15" i="36"/>
  <c r="K36" i="35"/>
  <c r="K35" i="35"/>
  <c r="K32" i="35"/>
  <c r="K30" i="35"/>
  <c r="K24" i="35"/>
  <c r="K25" i="35"/>
  <c r="K26" i="35"/>
  <c r="K27" i="35"/>
  <c r="K28" i="35"/>
  <c r="K29" i="35"/>
  <c r="L34" i="35"/>
  <c r="I34" i="35"/>
  <c r="L31" i="35"/>
  <c r="I31" i="35"/>
  <c r="G31" i="35"/>
  <c r="O24" i="35"/>
  <c r="O30" i="35"/>
  <c r="O29" i="35"/>
  <c r="O28" i="35"/>
  <c r="O27" i="35"/>
  <c r="O26" i="35"/>
  <c r="O25" i="35"/>
  <c r="I39" i="72"/>
  <c r="H39" i="72" s="1"/>
  <c r="I40" i="72"/>
  <c r="I41" i="72"/>
  <c r="H41" i="72" s="1"/>
  <c r="I42" i="72"/>
  <c r="H42" i="72" s="1"/>
  <c r="I43" i="72"/>
  <c r="H43" i="72" s="1"/>
  <c r="I44" i="72"/>
  <c r="H44" i="72" s="1"/>
  <c r="I45" i="72"/>
  <c r="I10" i="36" l="1"/>
  <c r="I22" i="36" s="1"/>
  <c r="I24" i="36" s="1"/>
  <c r="Q21" i="36"/>
  <c r="O25" i="36"/>
  <c r="J24" i="36"/>
  <c r="N25" i="36"/>
  <c r="M24" i="36"/>
  <c r="L24" i="36"/>
  <c r="P25" i="36"/>
  <c r="N24" i="36"/>
  <c r="K24" i="36"/>
  <c r="H24" i="36"/>
  <c r="P24" i="36"/>
  <c r="O24" i="36"/>
  <c r="I41" i="35"/>
  <c r="I42" i="35" s="1"/>
  <c r="O34" i="35"/>
  <c r="G34" i="35"/>
  <c r="G38" i="35" s="1"/>
  <c r="G41" i="35" s="1"/>
  <c r="D31" i="72"/>
  <c r="D9" i="71"/>
  <c r="I8" i="36"/>
  <c r="I20" i="36" s="1"/>
  <c r="Q20" i="36" s="1"/>
  <c r="D32" i="72"/>
  <c r="F46" i="72"/>
  <c r="E12" i="72"/>
  <c r="E43" i="72"/>
  <c r="D46" i="72"/>
  <c r="D12" i="72"/>
  <c r="Q22" i="36"/>
  <c r="K33" i="35"/>
  <c r="O31" i="35"/>
  <c r="E44" i="72"/>
  <c r="E45" i="72"/>
  <c r="E39" i="72"/>
  <c r="E42" i="72"/>
  <c r="E40" i="72"/>
  <c r="E41" i="72"/>
  <c r="D34" i="72"/>
  <c r="D28" i="72"/>
  <c r="D33" i="72"/>
  <c r="D29" i="72"/>
  <c r="D30" i="72"/>
  <c r="Q24" i="36" l="1"/>
  <c r="J33" i="35"/>
  <c r="Q8" i="36"/>
  <c r="G42" i="35"/>
  <c r="H31" i="35"/>
  <c r="E30" i="72"/>
  <c r="F30" i="72" s="1"/>
  <c r="G41" i="72"/>
  <c r="C9" i="71"/>
  <c r="C11" i="71" s="1"/>
  <c r="I9" i="71"/>
  <c r="D11" i="71"/>
  <c r="E33" i="72"/>
  <c r="F33" i="72" s="1"/>
  <c r="G44" i="72"/>
  <c r="E31" i="72"/>
  <c r="F31" i="72" s="1"/>
  <c r="G42" i="72"/>
  <c r="G39" i="72"/>
  <c r="E28" i="72"/>
  <c r="G45" i="72"/>
  <c r="E34" i="72"/>
  <c r="F34" i="72" s="1"/>
  <c r="D35" i="72"/>
  <c r="G40" i="72"/>
  <c r="E29" i="72"/>
  <c r="F29" i="72" s="1"/>
  <c r="E32" i="72"/>
  <c r="F32" i="72" s="1"/>
  <c r="G43" i="72"/>
  <c r="J26" i="35"/>
  <c r="J25" i="35"/>
  <c r="H37" i="35"/>
  <c r="H25" i="35"/>
  <c r="H26" i="35"/>
  <c r="H24" i="35"/>
  <c r="H27" i="35"/>
  <c r="H30" i="35"/>
  <c r="H29" i="35"/>
  <c r="H28" i="35"/>
  <c r="J27" i="35"/>
  <c r="H33" i="35"/>
  <c r="J28" i="35"/>
  <c r="J29" i="35"/>
  <c r="J30" i="35"/>
  <c r="H34" i="35"/>
  <c r="J31" i="35"/>
  <c r="J34" i="35"/>
  <c r="J38" i="35" s="1"/>
  <c r="J24" i="35"/>
  <c r="I100" i="71" l="1"/>
  <c r="I11" i="71"/>
  <c r="I103" i="71" s="1"/>
  <c r="F28" i="72"/>
  <c r="E35" i="72"/>
  <c r="H38" i="35"/>
  <c r="H39" i="35" s="1"/>
  <c r="H41" i="35"/>
  <c r="J41" i="35"/>
  <c r="J39" i="35"/>
  <c r="I102" i="71" l="1"/>
  <c r="I104" i="71" s="1"/>
  <c r="Q43" i="37"/>
  <c r="Q42" i="37"/>
  <c r="Q41" i="37"/>
  <c r="Q40" i="37"/>
  <c r="Q39" i="37"/>
  <c r="Q38" i="37"/>
  <c r="Q35" i="37"/>
  <c r="Q31" i="37"/>
  <c r="N25" i="35"/>
  <c r="F52" i="72"/>
  <c r="F53" i="72"/>
  <c r="Q44" i="37" l="1"/>
  <c r="Q36" i="37"/>
  <c r="S19" i="10" l="1"/>
  <c r="N42" i="7"/>
  <c r="N24" i="7"/>
  <c r="N36" i="35" l="1"/>
  <c r="N35" i="35"/>
  <c r="N33" i="35"/>
  <c r="N32" i="35"/>
  <c r="N30" i="35"/>
  <c r="N29" i="35"/>
  <c r="N28" i="35"/>
  <c r="N27" i="35"/>
  <c r="N26" i="35"/>
  <c r="N24" i="35"/>
  <c r="L37" i="35"/>
  <c r="L38" i="35" s="1"/>
  <c r="L39" i="35" s="1"/>
  <c r="L42" i="35" s="1"/>
  <c r="O36" i="35"/>
  <c r="O35" i="35"/>
  <c r="O32" i="35"/>
  <c r="L41" i="35" l="1"/>
  <c r="N34" i="35"/>
  <c r="I38" i="35"/>
  <c r="K34" i="35"/>
  <c r="K38" i="35" s="1"/>
  <c r="O37" i="35"/>
  <c r="K31" i="35"/>
  <c r="N31" i="35"/>
  <c r="N37" i="35"/>
  <c r="O38" i="35" l="1"/>
  <c r="O41" i="35"/>
  <c r="N41" i="35"/>
  <c r="N42" i="35" s="1"/>
  <c r="N38" i="35"/>
  <c r="N39" i="35" s="1"/>
  <c r="K41" i="35"/>
  <c r="K42" i="35" s="1"/>
  <c r="I39" i="35"/>
  <c r="K39" i="35"/>
  <c r="O39" i="35" l="1"/>
  <c r="M25" i="35"/>
  <c r="M24" i="35"/>
  <c r="M33" i="35"/>
  <c r="M30" i="35"/>
  <c r="M34" i="35"/>
  <c r="M38" i="35" s="1"/>
  <c r="M31" i="35"/>
  <c r="M29" i="35"/>
  <c r="M28" i="35"/>
  <c r="M27" i="35"/>
  <c r="M26" i="35"/>
  <c r="M41" i="35" l="1"/>
  <c r="M39" i="35"/>
  <c r="M43" i="7" l="1"/>
  <c r="M42" i="7"/>
  <c r="M24" i="7"/>
  <c r="M23" i="7"/>
  <c r="J23" i="7"/>
  <c r="J25" i="7" s="1"/>
  <c r="J39" i="7" s="1"/>
  <c r="J44" i="7" s="1"/>
  <c r="M27" i="7" l="1"/>
  <c r="M26" i="7"/>
  <c r="M28" i="7" s="1"/>
  <c r="M25" i="7"/>
  <c r="M22" i="7"/>
  <c r="K28" i="7"/>
  <c r="J27" i="7"/>
  <c r="J26" i="7"/>
  <c r="J29" i="7"/>
  <c r="H28" i="7"/>
  <c r="M36" i="7" l="1"/>
  <c r="M49" i="7"/>
  <c r="M30" i="7"/>
  <c r="M33" i="7" s="1"/>
  <c r="M39" i="7"/>
  <c r="M44" i="7" s="1"/>
  <c r="M29" i="7"/>
  <c r="J22" i="7"/>
  <c r="J28" i="7"/>
  <c r="N25" i="7"/>
  <c r="R19" i="10"/>
  <c r="O19" i="10"/>
  <c r="N19" i="10"/>
  <c r="M19" i="10"/>
  <c r="K18" i="10"/>
  <c r="T18" i="10" s="1"/>
  <c r="K17" i="10"/>
  <c r="K20" i="10" s="1"/>
  <c r="T9" i="10"/>
  <c r="T10" i="10"/>
  <c r="T11" i="10"/>
  <c r="T12" i="10"/>
  <c r="T13" i="10"/>
  <c r="T14" i="10"/>
  <c r="T15" i="10"/>
  <c r="T16" i="10"/>
  <c r="T8" i="10"/>
  <c r="E18" i="72" l="1"/>
  <c r="N29" i="7"/>
  <c r="N39" i="7"/>
  <c r="N44" i="7" s="1"/>
  <c r="J36" i="7"/>
  <c r="J49" i="7"/>
  <c r="K21" i="10"/>
  <c r="J30" i="7"/>
  <c r="J33" i="7" s="1"/>
  <c r="T19" i="10"/>
  <c r="N30" i="7"/>
  <c r="T17" i="10"/>
  <c r="Q45" i="37"/>
  <c r="Q50" i="37"/>
  <c r="Q49" i="37"/>
  <c r="Q29" i="37"/>
  <c r="Q28" i="37"/>
  <c r="Q26" i="37"/>
  <c r="Q25" i="37"/>
  <c r="Q16" i="37"/>
  <c r="Q15" i="37"/>
  <c r="Q9" i="37"/>
  <c r="I18" i="37"/>
  <c r="F18" i="72" l="1"/>
  <c r="N33" i="7"/>
  <c r="T21" i="10"/>
  <c r="Q52" i="37"/>
  <c r="Q30" i="37"/>
  <c r="Q54" i="37"/>
  <c r="Q18" i="37"/>
  <c r="T20" i="10"/>
  <c r="Q53" i="37"/>
  <c r="Q17" i="37"/>
  <c r="I23" i="36"/>
  <c r="J23" i="36"/>
  <c r="K23" i="36"/>
  <c r="L23" i="36"/>
  <c r="M23" i="36"/>
  <c r="N23" i="36"/>
  <c r="O23" i="36"/>
  <c r="P23" i="36"/>
  <c r="H23" i="36"/>
  <c r="Q10" i="36"/>
  <c r="Q11" i="36"/>
  <c r="Q13" i="36"/>
  <c r="Q14" i="36"/>
  <c r="Q16" i="36"/>
  <c r="Q17" i="36"/>
  <c r="Q18" i="36"/>
  <c r="Q19" i="36"/>
  <c r="F54" i="72"/>
  <c r="F55" i="72"/>
  <c r="F56" i="72"/>
  <c r="Q59" i="37" l="1"/>
  <c r="F57" i="72"/>
  <c r="O21" i="35"/>
  <c r="Q23" i="36"/>
  <c r="I25" i="36"/>
  <c r="L25" i="36"/>
  <c r="K25" i="36"/>
  <c r="J25" i="36"/>
  <c r="I46" i="72" l="1"/>
  <c r="F12" i="72"/>
  <c r="Q25" i="36"/>
  <c r="O42" i="35"/>
</calcChain>
</file>

<file path=xl/sharedStrings.xml><?xml version="1.0" encoding="utf-8"?>
<sst xmlns="http://schemas.openxmlformats.org/spreadsheetml/2006/main" count="6101" uniqueCount="730">
  <si>
    <t>ANEKSI nr.1 Raporti Përmbledhës i Shpenzimeve të Ministrisë/Institucionit Buxhetor</t>
  </si>
  <si>
    <t>në/lekë</t>
  </si>
  <si>
    <t>Emri i Grupit</t>
  </si>
  <si>
    <t>Kodi i grupit</t>
  </si>
  <si>
    <t>EMËRTIME</t>
  </si>
  <si>
    <t>Shpenzimet e Ministrisë/Institucionit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</si>
  <si>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</si>
  <si>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</si>
  <si>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</si>
  <si>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</si>
  <si>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</si>
  <si>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</si>
  <si>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</si>
  <si>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</si>
  <si>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</si>
  <si>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</si>
  <si>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</si>
  <si>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</si>
  <si>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</si>
  <si>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</si>
  <si>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</si>
  <si>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</si>
  <si>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</si>
  <si>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</si>
  <si>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</si>
  <si>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</si>
  <si>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</si>
  <si>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01110</t>
  </si>
  <si>
    <t>Planifikimi, Menaxhimi dhe Administrimi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</si>
  <si>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</si>
  <si>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</si>
  <si>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</si>
  <si>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</si>
  <si>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</si>
  <si>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</si>
  <si>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</si>
  <si>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</si>
  <si>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</si>
  <si>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</si>
  <si>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</si>
  <si>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</si>
  <si>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</si>
  <si>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</si>
  <si>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</si>
  <si>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</si>
  <si>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</si>
  <si>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</si>
  <si>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</si>
  <si>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</si>
  <si>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</si>
  <si>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</si>
  <si>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</si>
  <si>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</si>
  <si>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</si>
  <si>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</si>
  <si>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</si>
  <si>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</si>
  <si>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Numri i punonjësve</t>
  </si>
  <si>
    <t>Sekretari i Përgjithshëm</t>
  </si>
  <si>
    <t>Emri</t>
  </si>
  <si>
    <t>Firma</t>
  </si>
  <si>
    <t>Data</t>
  </si>
  <si>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</si>
  <si>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</si>
  <si>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</si>
  <si>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</si>
  <si>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Buxheti</t>
  </si>
  <si>
    <t>Artikujt buxhetore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</si>
  <si>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</si>
  <si>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</si>
  <si>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</si>
  <si>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</si>
  <si>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</si>
  <si>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</si>
  <si>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</si>
  <si>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</si>
  <si>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</si>
  <si>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</si>
  <si>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</si>
  <si>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</si>
  <si>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</si>
  <si>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</si>
  <si>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</si>
  <si>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</si>
  <si>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</si>
  <si>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02</t>
  </si>
  <si>
    <t>Financim i huaj - Grant</t>
  </si>
  <si>
    <t>04</t>
  </si>
  <si>
    <t>TVSH, Detyrim Doganor</t>
  </si>
  <si>
    <t>Ndryshimi ne vlere absolute</t>
  </si>
  <si>
    <t>Realizimi ne %</t>
  </si>
  <si>
    <t>06</t>
  </si>
  <si>
    <t>Nga të ardhurat jashtë limitit</t>
  </si>
  <si>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</si>
  <si>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</si>
  <si>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</si>
  <si>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</si>
  <si>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</si>
  <si>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</si>
  <si>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</si>
  <si>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</si>
  <si>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</si>
  <si>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</si>
  <si>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</si>
  <si>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</si>
  <si>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</si>
  <si>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</si>
  <si>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</si>
  <si>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Te ardhura jashte limiti</t>
  </si>
  <si>
    <t>Total i Ministrisë/Institucionit</t>
  </si>
  <si>
    <t>Numri i punonjesve në Total</t>
  </si>
  <si>
    <t>Numri faktik</t>
  </si>
  <si>
    <t>ANEKSI nr. 2 Raporti mbi Ekzekutimin e Buxhetit në nivelin e Programit të Buxhetit</t>
  </si>
  <si>
    <t xml:space="preserve"> Emri i Grupit</t>
  </si>
  <si>
    <t xml:space="preserve"> Emri i </t>
  </si>
  <si>
    <t>Kodi i programit</t>
  </si>
  <si>
    <t>Shpenzimet e Programit</t>
  </si>
  <si>
    <t>Viti paraardhës</t>
  </si>
  <si>
    <t>Ndryshimi Vjetor                    ( Plan - Fakt)</t>
  </si>
  <si>
    <t>Shpenzime              Faktike</t>
  </si>
  <si>
    <t>Ndryshimi i planit vjetor</t>
  </si>
  <si>
    <t>Nëntotali Shpenzime Korente</t>
  </si>
  <si>
    <t>Nëntotali Shpenzime Kapitale me financim të brendshëm</t>
  </si>
  <si>
    <t>Nëntotali Shpenzime Kapitale me financim të huaj</t>
  </si>
  <si>
    <t>Totali i Shpenzimeve Kapitale</t>
  </si>
  <si>
    <t>Totali i Shpenzimeve Buxhetore të Programit</t>
  </si>
  <si>
    <t>Shpenzime Korente nga të Ardhurat Jashtë limitit (Kap 06)</t>
  </si>
  <si>
    <t>Shpenzime Kapitale nga të Ardhurat Jashtë limitit (Kap 06)</t>
  </si>
  <si>
    <t>Totali i Shpenzimeve të Programit</t>
  </si>
  <si>
    <t>Shpenzimet sipas produkteve të programit buxhetor</t>
  </si>
  <si>
    <t>Totali i Shpenzime Korente</t>
  </si>
  <si>
    <t>Kodi i produktit</t>
  </si>
  <si>
    <t>Emertimi</t>
  </si>
  <si>
    <t>Totali Shpenzime për Investime</t>
  </si>
  <si>
    <t>Drejtuesi i Ekipit 
Menaxhues të 
Programit</t>
  </si>
  <si>
    <t>RAPORTI 2/1  Shpenzimet e programit sipas kapitujve</t>
  </si>
  <si>
    <t>Shpenzime Kapitale të Patrupëzuara</t>
  </si>
  <si>
    <t>Shpenzime Kapitale të Trupëzuara</t>
  </si>
  <si>
    <t>Kontrib.e Sigurimeve Shoqërore</t>
  </si>
  <si>
    <t>Mallra dhe Shërbime</t>
  </si>
  <si>
    <t>Subveci-net</t>
  </si>
  <si>
    <t>Të Tjera Transfer.Korrente Brendshme</t>
  </si>
  <si>
    <t>Transfer.Korrente të Huaja</t>
  </si>
  <si>
    <t>Firma:</t>
  </si>
  <si>
    <t>Data:</t>
  </si>
  <si>
    <t>Plani Fillestar
 Vjetor 
Viti 2025</t>
  </si>
  <si>
    <t>Plani Vjetor
 i Rishikuar
 Viti 2025</t>
  </si>
  <si>
    <t>02120</t>
  </si>
  <si>
    <t>Forcat e Luftimit</t>
  </si>
  <si>
    <t>02150</t>
  </si>
  <si>
    <t>Mbështetja e Luftimit</t>
  </si>
  <si>
    <t>07340</t>
  </si>
  <si>
    <t>Mbështetja për Shëndetësinë</t>
  </si>
  <si>
    <t>09430</t>
  </si>
  <si>
    <t>Arsimi Ushtarak</t>
  </si>
  <si>
    <t>10270</t>
  </si>
  <si>
    <t>Mbështetje për Ushtarakët</t>
  </si>
  <si>
    <t>10910</t>
  </si>
  <si>
    <t xml:space="preserve">Emergjencat Civile </t>
  </si>
  <si>
    <t>Periudha e Raportimit  12-2025</t>
  </si>
  <si>
    <t>Ministria e Mbrojtjes</t>
  </si>
  <si>
    <t>91701AA</t>
  </si>
  <si>
    <t>Akte ligjore e nenligjore te pergatitura</t>
  </si>
  <si>
    <t>23AD801</t>
  </si>
  <si>
    <t xml:space="preserve">Blerje Pajisjesh  për Zonimin TEMPEST te ambienteve , godinave dhe mburojave  </t>
  </si>
  <si>
    <t>20AC701</t>
  </si>
  <si>
    <t>Permiresim ne hardware/software dhe ndertime te dhomave te serverave (NJUSK)</t>
  </si>
  <si>
    <t>22AG001</t>
  </si>
  <si>
    <t>Blerje pajisje Tik per MM dhe FA</t>
  </si>
  <si>
    <t>M170228</t>
  </si>
  <si>
    <t>Instalim I sistemeve kunder zjarrit</t>
  </si>
  <si>
    <t>23AD701</t>
  </si>
  <si>
    <t>Blerje Automjete per Perfaqesine Ushtarake</t>
  </si>
  <si>
    <t xml:space="preserve">M170487 </t>
  </si>
  <si>
    <t xml:space="preserve">Rikonstruksion I nderteses se Aparatit te MM                                                                               </t>
  </si>
  <si>
    <t>23AE201</t>
  </si>
  <si>
    <t xml:space="preserve">Përmirësimi dhe Mirëmbajtja e Sistemit të Administrimit të Dokumentave </t>
  </si>
  <si>
    <t>M170203</t>
  </si>
  <si>
    <t>Fond i ngrire</t>
  </si>
  <si>
    <t>17</t>
  </si>
  <si>
    <t>91706AB</t>
  </si>
  <si>
    <t>Sigurimin suplementar të ish ushtarakëve dhe ish policeve</t>
  </si>
  <si>
    <t>91706AC</t>
  </si>
  <si>
    <t>91706AD</t>
  </si>
  <si>
    <t>91706AE</t>
  </si>
  <si>
    <t>91706AF</t>
  </si>
  <si>
    <t>Nr</t>
  </si>
  <si>
    <t>91702AE</t>
  </si>
  <si>
    <t>Forca Ajrore në gadishmëri dhe operacionale</t>
  </si>
  <si>
    <t>M170327</t>
  </si>
  <si>
    <t>18AZ106</t>
  </si>
  <si>
    <t>18AZ109</t>
  </si>
  <si>
    <t>18AZ108</t>
  </si>
  <si>
    <t>Rikonstruksion i Shtepise se Ushtarakeve Kucove</t>
  </si>
  <si>
    <t>18AZ217</t>
  </si>
  <si>
    <t>Shpronesime tokash Kucove (Baza Ajrore Kucove)</t>
  </si>
  <si>
    <t>18AZ220</t>
  </si>
  <si>
    <t>18AZ221</t>
  </si>
  <si>
    <t>18AY921</t>
  </si>
  <si>
    <t>18AZ231</t>
  </si>
  <si>
    <t>18AZ230</t>
  </si>
  <si>
    <t>Ngritja e shkolles se aviacionit Vlore</t>
  </si>
  <si>
    <t>18AZ232</t>
  </si>
  <si>
    <t>18AZ234</t>
  </si>
  <si>
    <t>18AZ237</t>
  </si>
  <si>
    <t>Blerje e avjoneve me krah FIX shumerolesh</t>
  </si>
  <si>
    <t>18AZ239</t>
  </si>
  <si>
    <t>Ndertim I sistemit antidronCUAS</t>
  </si>
  <si>
    <t>91702AA</t>
  </si>
  <si>
    <t>Forca Toksore në gadishmëri dhe operacionale</t>
  </si>
  <si>
    <t>91702AB</t>
  </si>
  <si>
    <t>Kontigjent ushtarake në mision paqeruajtese jashte vendit</t>
  </si>
  <si>
    <t>M170424</t>
  </si>
  <si>
    <t>18AY909</t>
  </si>
  <si>
    <t>18AY916</t>
  </si>
  <si>
    <t>18AY918</t>
  </si>
  <si>
    <t>Ndertim i rrjetit inxhinierik i poligonit kombetar Pajet</t>
  </si>
  <si>
    <t>18AY922</t>
  </si>
  <si>
    <t>18AZ238</t>
  </si>
  <si>
    <t>M170411</t>
  </si>
  <si>
    <t>TVSH</t>
  </si>
  <si>
    <t>91702AC</t>
  </si>
  <si>
    <t>Forca Detare në gadishmëri dhe operacionale</t>
  </si>
  <si>
    <t>18AZ042</t>
  </si>
  <si>
    <t>18AZ043</t>
  </si>
  <si>
    <t>18AZ040</t>
  </si>
  <si>
    <t>18AZ028</t>
  </si>
  <si>
    <t>Ndertim godine per PSV, Maja e Thanasit, prona nr.1273</t>
  </si>
  <si>
    <t>18AZ038</t>
  </si>
  <si>
    <t>18AZ045</t>
  </si>
  <si>
    <t>18AZ044</t>
  </si>
  <si>
    <t>18AZ046</t>
  </si>
  <si>
    <t>Ndertim objektesh dhe punime per rikonstruksionin e objekteve te Forces Tokesore</t>
  </si>
  <si>
    <t>Pajisje te sallave operacionale, ndertesave te reja me orendi dhe sisteme IT-</t>
  </si>
  <si>
    <t>Blerje dronesh )Financim Kayo)</t>
  </si>
  <si>
    <t>Krijimi i kapitalit fillestar KAYO</t>
  </si>
  <si>
    <t>Blerje pajisje kompjuterike / IT per kompletimin e strukturave te FT-se</t>
  </si>
  <si>
    <t>Dylbi profesional optik dhe per shikimin naten  per repartet e Forces Detare</t>
  </si>
  <si>
    <t xml:space="preserve">Ndërtimi i mureve përforcuese të komandës së Kepit të Palit (prona 240, </t>
  </si>
  <si>
    <t>Rrethimi I jashtem NR.245 (Kompania e mbeshtetjes, QVD, QNOD (ish KFD)"</t>
  </si>
  <si>
    <t xml:space="preserve">Sisteme Nënujore Autonome për kerkimin e minave detare per operacionet </t>
  </si>
  <si>
    <t>Punime infrastrukturore ne Porto palermo (tunel, bankina etj)</t>
  </si>
  <si>
    <t xml:space="preserve">Ndertim dhe rikonstruksion, objektesh( Godina shumefunksionale e QZH, </t>
  </si>
  <si>
    <t>Platforma e grumbukllimirt dhe perpunimit te informacionit detar</t>
  </si>
  <si>
    <t xml:space="preserve">Ndertimi i perimetrit te sigurise ne Bazen Ajrore Kucove / Shpronesime </t>
  </si>
  <si>
    <t>Sisteme komunikimi dhe infomacioni Baza Ajrore e NATO-s , Kucove CIS</t>
  </si>
  <si>
    <t>Punime Infrastrukturore Baza Ajrore Kucove</t>
  </si>
  <si>
    <t>Hangare , mjedise per mirembajtjen riparimit dhe te testimit</t>
  </si>
  <si>
    <t>Ndërtim hangar mirembajtje per helikopterat, Farke</t>
  </si>
  <si>
    <t xml:space="preserve">ARMATIM I LEHT MUNICION DHE PAISJE E MAKINERI PER FORCAT E </t>
  </si>
  <si>
    <t>Sistemi I integruar I vezhgimit te hapsires ajrore</t>
  </si>
  <si>
    <t>Ndertim I hangareve per shkollen e aviacionit</t>
  </si>
  <si>
    <t>Kompletim I sallave operacionale , ndertesave te Forces Ajrore me orendi dhe pajisje</t>
  </si>
  <si>
    <t>19AH806</t>
  </si>
  <si>
    <t>Pajisje inventar ekonomik</t>
  </si>
  <si>
    <t>Të Tjera Transfer.  Korrente Brendshme</t>
  </si>
  <si>
    <t>91703AI</t>
  </si>
  <si>
    <t>Inteligjenca ushtarake për autoritet e drejtimit dhe komandimit të FA</t>
  </si>
  <si>
    <t>Shpenzime Faktike të Periudhës/ Progresive</t>
  </si>
  <si>
    <t>91705AA</t>
  </si>
  <si>
    <t>19AC403</t>
  </si>
  <si>
    <t>Ndertimi i godines se re te AFA, (Prona.21)</t>
  </si>
  <si>
    <t>19AC406</t>
  </si>
  <si>
    <t>Blerje licenca VBS3 dhe 15 laptop per VBS3 (MTT)</t>
  </si>
  <si>
    <t>23AD902</t>
  </si>
  <si>
    <t>23AD903</t>
  </si>
  <si>
    <t>23AD904</t>
  </si>
  <si>
    <t>24AJ801</t>
  </si>
  <si>
    <t>Ndertim I kabines elektrike - Masterplan AFA</t>
  </si>
  <si>
    <t>25AC201</t>
  </si>
  <si>
    <t>Veshje me sistem kapot per objektet e QAPU, Bunavi - Vlore</t>
  </si>
  <si>
    <t>Të Tjera Transfer. Korrente Brendshme</t>
  </si>
  <si>
    <t>91704AA</t>
  </si>
  <si>
    <t>Pacientet  te trajtuar ambulator dhe te shtruar te urgjences</t>
  </si>
  <si>
    <t>18AZ813</t>
  </si>
  <si>
    <t>18AZ817</t>
  </si>
  <si>
    <t>Blerje Pajisje Mjeksore</t>
  </si>
  <si>
    <t>91707AA</t>
  </si>
  <si>
    <t>91707AB</t>
  </si>
  <si>
    <t>91707AD</t>
  </si>
  <si>
    <t>91707AE</t>
  </si>
  <si>
    <t>STOKU MALLRA INDUSTRIAL (REZERVE MATERIALE SHTETERORE)</t>
  </si>
  <si>
    <t>91707AG</t>
  </si>
  <si>
    <t xml:space="preserve">Shpenzime për marrjen e masave parandaluese, lehtësuese mbrojtëse dhe </t>
  </si>
  <si>
    <t>18AZ901</t>
  </si>
  <si>
    <t>Fatkeqesi natyrore te menaxhuara</t>
  </si>
  <si>
    <t>18AZ904</t>
  </si>
  <si>
    <t>18AZ905</t>
  </si>
  <si>
    <t>18BA105</t>
  </si>
  <si>
    <t>Cadra strehimi</t>
  </si>
  <si>
    <t>20AD002</t>
  </si>
  <si>
    <t>Blerje mjete speciale per  AKMC</t>
  </si>
  <si>
    <t>21AD301</t>
  </si>
  <si>
    <t>21AD501</t>
  </si>
  <si>
    <t>Ndertim I stacioneve Hidro-meteorologjike</t>
  </si>
  <si>
    <t>21AD502</t>
  </si>
  <si>
    <t>Investime te Bashkive per Mbrojtjen Civile (sipas VKM-se 414 date 08.07.2021)</t>
  </si>
  <si>
    <t>22AG103</t>
  </si>
  <si>
    <t>Bashkefinancim me projektet e huaja Flood North Albania</t>
  </si>
  <si>
    <t>22AG104</t>
  </si>
  <si>
    <t>Bashkefinancim me projektet e huaja Local Drm</t>
  </si>
  <si>
    <t>22AG105</t>
  </si>
  <si>
    <t>Bashkefinancim me projektet e huaja Sa Resilience</t>
  </si>
  <si>
    <t>22AG106</t>
  </si>
  <si>
    <t>24AK001</t>
  </si>
  <si>
    <t>Bashkefinancim me projekt I huaj EMERGE</t>
  </si>
  <si>
    <t>25AD701</t>
  </si>
  <si>
    <t>Bashkefinancim AKMC per ALBADAPT/EAR-MHES</t>
  </si>
  <si>
    <t>M170312</t>
  </si>
  <si>
    <t>Blerje pajisje zyre dhe kompjuterike</t>
  </si>
  <si>
    <t>FIRE PREP</t>
  </si>
  <si>
    <t>ROSES</t>
  </si>
  <si>
    <t>22AG204</t>
  </si>
  <si>
    <t>Flood North Albania</t>
  </si>
  <si>
    <t>Local DRM</t>
  </si>
  <si>
    <t>22AG207</t>
  </si>
  <si>
    <t>22AG208</t>
  </si>
  <si>
    <t>24AK101</t>
  </si>
  <si>
    <t>25AD801</t>
  </si>
  <si>
    <t>Art. 231 HUAJ</t>
  </si>
  <si>
    <t>Mbeshteja e Luftimit</t>
  </si>
  <si>
    <t>Nr.</t>
  </si>
  <si>
    <t>Plani i rishikuar viti 2025</t>
  </si>
  <si>
    <t>Shpenzime faktike viti 2025</t>
  </si>
  <si>
    <t xml:space="preserve">Perqindja kundrejt 12 mujorit </t>
  </si>
  <si>
    <t>Arsimimi Ushtarak</t>
  </si>
  <si>
    <t>Totali i Shpenzimeve të Ministrisë</t>
  </si>
  <si>
    <t>PROGRAMI BUXHETOR PLANIFIKIMI, MENAXHIMI DHE ADMINISTRIMI</t>
  </si>
  <si>
    <t>LLOGARIA EKONOMIKE</t>
  </si>
  <si>
    <t>Shpenzime faktike 2024</t>
  </si>
  <si>
    <t>PLANI FILLESTAR</t>
  </si>
  <si>
    <t>PLANI ME NDRYSHIME</t>
  </si>
  <si>
    <t>MBETJE</t>
  </si>
  <si>
    <t xml:space="preserve"> % e Realizimit </t>
  </si>
  <si>
    <t xml:space="preserve"> NDRYSHIME </t>
  </si>
  <si>
    <t>231/2</t>
  </si>
  <si>
    <t>TOTALI</t>
  </si>
  <si>
    <t>PROGRAMI BUXHETOR FORCA E LUFTIMIT</t>
  </si>
  <si>
    <t>PROGRAMI BUXHETOR MBESHTETJA E LUFTIMIT</t>
  </si>
  <si>
    <t>PROGRAMI BUXHETOMBWSHTETJE PWR SHWNDETWSINW</t>
  </si>
  <si>
    <t>PROGRAMI BUXHETOR ARSIMI USHTARAK</t>
  </si>
  <si>
    <t>PROGRAMI BUXHETOR MBESHTETJE SOCIALE PER USHTARAKET</t>
  </si>
  <si>
    <t>PROGRAMI BUXHETOR EMERGJENCAT CIVILE</t>
  </si>
  <si>
    <t>TOTAL MINISTRIA E MBROJTJES</t>
  </si>
  <si>
    <t>akmc</t>
  </si>
  <si>
    <t xml:space="preserve">Emërtimi i  Programit </t>
  </si>
  <si>
    <t>Shpenzime korrente  Viti 2025 në %</t>
  </si>
  <si>
    <t>Shpenzime kapitale të brendshme Viti 2025në %</t>
  </si>
  <si>
    <t>Totali i shpenzimeve buxhetore  Viti 2025 në %</t>
  </si>
  <si>
    <t>TOTALI   I   MINISTRISË</t>
  </si>
  <si>
    <t xml:space="preserve">Emërtimi i Programit </t>
  </si>
  <si>
    <t>Struktura e shpenz. sipas buxhetit fillestar Viti 2025 në %</t>
  </si>
  <si>
    <t xml:space="preserve">Struktura e shpenz. sipas faktit të </t>
  </si>
  <si>
    <t>Vitit 2025në %</t>
  </si>
  <si>
    <t>#</t>
  </si>
  <si>
    <t xml:space="preserve">Nr, </t>
  </si>
  <si>
    <t xml:space="preserve"> Emërtimi i Programit </t>
  </si>
  <si>
    <t xml:space="preserve"> Plani vjetor i rishikur në mijë lekë</t>
  </si>
  <si>
    <t xml:space="preserve"> Struktura në % </t>
  </si>
  <si>
    <t xml:space="preserve"> Fakti i vitit 2025 </t>
  </si>
  <si>
    <t xml:space="preserve"> Realizimi  në % </t>
  </si>
  <si>
    <t xml:space="preserve"> Totali </t>
  </si>
  <si>
    <t>TOTALI I MINISTRISË</t>
  </si>
  <si>
    <t xml:space="preserve"> fakt</t>
  </si>
  <si>
    <t>Plan</t>
  </si>
  <si>
    <t xml:space="preserve"> %</t>
  </si>
  <si>
    <t>TOTALI MM</t>
  </si>
  <si>
    <t>Emërtimi Iprogarmit</t>
  </si>
  <si>
    <t xml:space="preserve">Numri I punonjesve ne plan </t>
  </si>
  <si>
    <t>NDYSHIMI  I NUMRI TEW PUNONJWSVE (PLAN -FAKT)</t>
  </si>
  <si>
    <r>
      <t xml:space="preserve">Emri:                     </t>
    </r>
    <r>
      <rPr>
        <b/>
        <sz val="7"/>
        <color rgb="FF080808"/>
        <rFont val="Arial"/>
        <family val="2"/>
      </rPr>
      <t xml:space="preserve"> </t>
    </r>
  </si>
  <si>
    <t>91703AA</t>
  </si>
  <si>
    <t>91703AC</t>
  </si>
  <si>
    <t>Qendra e Kultures funksionale</t>
  </si>
  <si>
    <t>91703AD</t>
  </si>
  <si>
    <t>Arkive funksionale</t>
  </si>
  <si>
    <t>91703AE</t>
  </si>
  <si>
    <t>Personel i rekrutuar dhe dosje te administriuara per trajtim financiar.</t>
  </si>
  <si>
    <t>91703AF</t>
  </si>
  <si>
    <t>Sistem i Automatizuar Logjistik i Menaxhuar</t>
  </si>
  <si>
    <t>91703AG</t>
  </si>
  <si>
    <t>Licenca import/eksporit te dhena</t>
  </si>
  <si>
    <t>91703AH</t>
  </si>
  <si>
    <t>Harta  ushtarake  te prodhura</t>
  </si>
  <si>
    <t>91703AJ</t>
  </si>
  <si>
    <t>Hapesires detare e monitoruar</t>
  </si>
  <si>
    <t>91703AK</t>
  </si>
  <si>
    <t>Polici ushtarake funksionale</t>
  </si>
  <si>
    <t>91703AL</t>
  </si>
  <si>
    <t>Sistem funksional kontrolli per FA</t>
  </si>
  <si>
    <t>91703AM</t>
  </si>
  <si>
    <t>Objekte ne ruajtje dhe godina pushimi te ofruara</t>
  </si>
  <si>
    <t>91703AN</t>
  </si>
  <si>
    <t>Kologji i Mbrojtjes dhe Sigurise</t>
  </si>
  <si>
    <t>18AZ301</t>
  </si>
  <si>
    <t>Mjete transporti dhe speciale FA</t>
  </si>
  <si>
    <t>18AZ312</t>
  </si>
  <si>
    <t>18AZ313</t>
  </si>
  <si>
    <t>18AZ317</t>
  </si>
  <si>
    <t>Kompletim dhe modernizim me automjete</t>
  </si>
  <si>
    <t>18AZ322</t>
  </si>
  <si>
    <t>Kompletim i ambjenteve per Zyrat e Rekrutimit ne rrethe</t>
  </si>
  <si>
    <t>18AZ324</t>
  </si>
  <si>
    <t>18AZ325</t>
  </si>
  <si>
    <t>18AZ326</t>
  </si>
  <si>
    <t>18AZ327</t>
  </si>
  <si>
    <t>Zhvillimi i kapaciteteve T1012,B1013,R1014,R1015,I1016,N1017</t>
  </si>
  <si>
    <t>18AZ328</t>
  </si>
  <si>
    <t>Kondicioner zyrash 9-btu</t>
  </si>
  <si>
    <t>18AZ334</t>
  </si>
  <si>
    <t>18AZ335</t>
  </si>
  <si>
    <t>18AZ337</t>
  </si>
  <si>
    <t>18AZ338</t>
  </si>
  <si>
    <t>Blerje Automjeti transporti per personelin e QISM</t>
  </si>
  <si>
    <t>18AZ413</t>
  </si>
  <si>
    <t>Përshtatje dhe rikonstruksion ambjentesh per Zyrat e Rekrutimit ne rrethe</t>
  </si>
  <si>
    <t>18AZ414</t>
  </si>
  <si>
    <t>18AZ415</t>
  </si>
  <si>
    <t>18AZ416</t>
  </si>
  <si>
    <t>18AZ417</t>
  </si>
  <si>
    <t>18AZ419</t>
  </si>
  <si>
    <t>18AZ427</t>
  </si>
  <si>
    <t>18AZ429</t>
  </si>
  <si>
    <t>Rikonstruksion godine 3-K, zyra e PU, Berat</t>
  </si>
  <si>
    <t>18AZ430</t>
  </si>
  <si>
    <t>Rikonstruksion i objektit Qendra e pesonel Rekrutim Godina nr.35 .</t>
  </si>
  <si>
    <t>18AZ502</t>
  </si>
  <si>
    <t>18AZ505</t>
  </si>
  <si>
    <t>Licenca dhe programe softeurike per FA</t>
  </si>
  <si>
    <t>18AZ507</t>
  </si>
  <si>
    <t>Ndertim/zgjerim i rrjetit te fibres Optike ne FA</t>
  </si>
  <si>
    <t>18AZ508</t>
  </si>
  <si>
    <t>Ndertimi i sistemit te trasmetimit shumekanalesh me vale FD</t>
  </si>
  <si>
    <t>18AZ513</t>
  </si>
  <si>
    <t>Rrjeti Kombetar i Klasifikuar NATO Sekret</t>
  </si>
  <si>
    <t>18AZ519</t>
  </si>
  <si>
    <t>Blerje e pajisjeve Similatore</t>
  </si>
  <si>
    <t>18AZ522</t>
  </si>
  <si>
    <t>Blerje pajisje vegla muzikore per OSFA - ne</t>
  </si>
  <si>
    <t>18AZ523</t>
  </si>
  <si>
    <t>18AZ524</t>
  </si>
  <si>
    <t>Permiresime ne hardware, software dhe ndertime te dhomave te serverave per rritjen e performances se sistemeve te MM/FA per vazhdueshmerine e punes</t>
  </si>
  <si>
    <t>18AZ526</t>
  </si>
  <si>
    <t>Kompjutera desktop QNOD</t>
  </si>
  <si>
    <t>18AZ527</t>
  </si>
  <si>
    <t>18AZ528</t>
  </si>
  <si>
    <t>Blerje e kompjuterave Laptop profesionale per stafin e QISM</t>
  </si>
  <si>
    <t>18AZ608</t>
  </si>
  <si>
    <t>Karrige zyrash me mbeshtetje (QNOD)</t>
  </si>
  <si>
    <t>18AZ609</t>
  </si>
  <si>
    <t>Kompletimi me Smart Bord te Klasave te KMS (Tabela interaktive min 86")</t>
  </si>
  <si>
    <t>18AZ610</t>
  </si>
  <si>
    <t>Blerje pajisjesh per TIK (Teknologjin dhe Informacionin KMS)</t>
  </si>
  <si>
    <t>18AZ611</t>
  </si>
  <si>
    <t>Kondicioner zyrash 9-btu AKSHE</t>
  </si>
  <si>
    <t>Tavolina pune ne forme L AKSHE</t>
  </si>
  <si>
    <t>18CI405</t>
  </si>
  <si>
    <t>18CI408</t>
  </si>
  <si>
    <t>Pajisje hotelerie per SHPU Jale, Durre , Pogradec dhe Vlore</t>
  </si>
  <si>
    <t>18CI409</t>
  </si>
  <si>
    <t>18CI502</t>
  </si>
  <si>
    <t>18AZ530</t>
  </si>
  <si>
    <t>Blerje licencave per permiresimin dhe perditesimin e Sistemeve te Mbrojtjes Kibernetike per Forcat e Armatosura.</t>
  </si>
  <si>
    <t>18AZ425</t>
  </si>
  <si>
    <t>Ndertim godine polifunksionale, kabinete mesimore per funksionimin e Shkolles se Trupes, prona nr.1275 Peze-Helmes</t>
  </si>
  <si>
    <t>18AZ434</t>
  </si>
  <si>
    <t>Ndertim objekti I perkohshem (element I mbeshtetjes kombetaqre ne filmcity, Prishtine)</t>
  </si>
  <si>
    <t>18AZ603</t>
  </si>
  <si>
    <t>Kompletimi me pajisje e orendi (tavolina,karrige,rafte etj) per FA</t>
  </si>
  <si>
    <t>M170237</t>
  </si>
  <si>
    <t>Blerje studime e projektime (Art.231)</t>
  </si>
  <si>
    <t>18AZ529</t>
  </si>
  <si>
    <t>Blerje pajisje  per sistemin BICES</t>
  </si>
  <si>
    <t>Studime e projektime (Art.230)</t>
  </si>
  <si>
    <t>Plani</t>
  </si>
  <si>
    <t>Emertimi i Programit</t>
  </si>
  <si>
    <t xml:space="preserve">Shpenzime kapitale  (Faktii vitit 2025) </t>
  </si>
  <si>
    <t xml:space="preserve"> Vlera </t>
  </si>
  <si>
    <t>77, 654</t>
  </si>
  <si>
    <t>8, 225, 628</t>
  </si>
  <si>
    <t>2, 069, 971</t>
  </si>
  <si>
    <t>193, 285</t>
  </si>
  <si>
    <t>396, 905</t>
  </si>
  <si>
    <t>Emergjencat Civile</t>
  </si>
  <si>
    <t>1, 327, 226</t>
  </si>
  <si>
    <t>Totali i shpenzimeve të Ministrise</t>
  </si>
  <si>
    <t>12, 290, 669</t>
  </si>
  <si>
    <t>Total projekte sipas planit tw  rishikuar</t>
  </si>
  <si>
    <t xml:space="preserve"> Projekte te Realizuar nw  vitin 2025 </t>
  </si>
  <si>
    <t>Totali (Korrente + Kapitale +me finacim te bendshem sipas Sifqit)</t>
  </si>
  <si>
    <t>Totali (Korrente + Kapitale +me finacim te bendshem +finacimi I huaj)</t>
  </si>
  <si>
    <t xml:space="preserve">në lekë </t>
  </si>
  <si>
    <t>Ne leke</t>
  </si>
  <si>
    <t xml:space="preserve">Ne leke </t>
  </si>
  <si>
    <t>Periudha e Raportimit 4-2026</t>
  </si>
  <si>
    <t>Plani Fillestar
 Vjetor 
Viti 2026</t>
  </si>
  <si>
    <t>Plani Vjetor
 i Rishikuar
 Viti 2026</t>
  </si>
  <si>
    <t>Periudha e Raportimit 04-2026</t>
  </si>
  <si>
    <t>Periudha e Raportimit  04-2026</t>
  </si>
  <si>
    <t>Viti paraardhës 2025</t>
  </si>
  <si>
    <t>ANEKSI nr.3 Raporti i performancës së produkteve të programit</t>
  </si>
  <si>
    <t>Kodi i Produktit</t>
  </si>
  <si>
    <t>Emërtimi i Produktit</t>
  </si>
  <si>
    <t xml:space="preserve">Njësia matëse 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</si>
  <si>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</si>
  <si>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</si>
  <si>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</si>
  <si>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</si>
  <si>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</si>
  <si>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</si>
  <si>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</si>
  <si>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>Kosto për Njësi 
(sipas planit Fillestar të vitit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</si>
  <si>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</si>
  <si>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</si>
  <si>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</si>
  <si>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</si>
  <si>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</si>
  <si>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</si>
  <si>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</si>
  <si>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</si>
  <si>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</si>
  <si>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</si>
  <si>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</si>
  <si>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</si>
  <si>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</si>
  <si>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</si>
  <si>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</si>
  <si>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</si>
  <si>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</si>
  <si>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T</t>
  </si>
  <si>
    <t>Viti paraardhes  realizimi</t>
  </si>
  <si>
    <t>Nr. Paisjesh</t>
  </si>
  <si>
    <t>Sigurime</t>
  </si>
  <si>
    <t>Përfitime të llogaritura dhe shpërndara për trajtimin e veçantë të pilotëve fluturues në pension</t>
  </si>
  <si>
    <t>Perfitime</t>
  </si>
  <si>
    <t>Përfitime të llogaritura dhe shpërndara për trajtimin e veçantë i punonjësve të industrisë ushtarake</t>
  </si>
  <si>
    <t>Përfitime të llogaritura dhe shpërndara për trajtimin e veçantë të ushtarakëve të nëndetëseve në pension</t>
  </si>
  <si>
    <t>Kontributet e buxhetit te shtetit ne baze te legjislacionit per financimin e ushtarakeve ne pension te parakohshem</t>
  </si>
  <si>
    <t>Kontribute</t>
  </si>
  <si>
    <t>Produktet e realizuara nga përdorimi i të ardhurave jashtë limitit (Nga kapitulli 06)</t>
  </si>
  <si>
    <t>Periudha e Raportimit  4-2026</t>
  </si>
  <si>
    <t>25AF801</t>
  </si>
  <si>
    <t>Permiresimi dhe mirembajtja e sistemit te kondicionimit ne dhomen e serverave primare dhe backup ne sallen e infrastruktures dhe ne dhomen UPS</t>
  </si>
  <si>
    <t>25AF901</t>
  </si>
  <si>
    <t>Blerje pajisje hardware Tik sipas standartit te AKSHI-t per MM</t>
  </si>
  <si>
    <t>25AG001</t>
  </si>
  <si>
    <t>Blerje pajisje hardware dhe software per rritjen e sigurise kibernetike ne sistemet kompjutrerike ne MM</t>
  </si>
  <si>
    <t>25AG701</t>
  </si>
  <si>
    <t>Permiresimi dhe mirembajtja e sistemit te printimit ne MM</t>
  </si>
  <si>
    <t xml:space="preserve">Rikonstruksion I nderteses se Aparatit te MM     (FOND I NGRIRE NGA MF)            </t>
  </si>
  <si>
    <t>Sistem</t>
  </si>
  <si>
    <t>cop</t>
  </si>
  <si>
    <t>Numri personeli Forcave Toksore</t>
  </si>
  <si>
    <t>nr. Personeli</t>
  </si>
  <si>
    <t>numer personeli</t>
  </si>
  <si>
    <t>nr.personeli</t>
  </si>
  <si>
    <t>m2</t>
  </si>
  <si>
    <t>Pajisje te sallave operacionale, ndertesave te reja me orendi dhe sisteme IT-je</t>
  </si>
  <si>
    <t>cope</t>
  </si>
  <si>
    <t>ml</t>
  </si>
  <si>
    <t>sistem</t>
  </si>
  <si>
    <t>Numer sistemi</t>
  </si>
  <si>
    <t>Cope</t>
  </si>
  <si>
    <t>numer</t>
  </si>
  <si>
    <t>Nr rrjeti</t>
  </si>
  <si>
    <t>Qendra e kontroll raportimit</t>
  </si>
  <si>
    <t>projekt</t>
  </si>
  <si>
    <t>Totali I shpenzimeve te programit</t>
  </si>
  <si>
    <t>Kapacitete Operacioanle që sigurojnë mbështetjen logjistike të FARSH</t>
  </si>
  <si>
    <t>Numer personeli</t>
  </si>
  <si>
    <t>meter linear dokumentash</t>
  </si>
  <si>
    <t>numer personash</t>
  </si>
  <si>
    <t>numer liçenca</t>
  </si>
  <si>
    <t>flete</t>
  </si>
  <si>
    <t>Zhvillimi i kapaciteteve O1001, K1002, S1003, S1004, L1005, N1006, N1007,R1008,I1009,M1010,M1011</t>
  </si>
  <si>
    <t>"Ngritja e sistemit te informacionit per gjeografine dhe infrastruktures ushtarake ne sherbim te IGJIU"</t>
  </si>
  <si>
    <t>Abonimi dhe suporti teknik vjetor per setin e programeTeledzne Cartis,per realiyim e hartave detare elektronike ENC dhe harta detare ne leter ne vazdhim te projektit ALNO-HIP.</t>
  </si>
  <si>
    <t>Abonimi dhe suporti teknik vjetor per programin SevenCs,per realizimin ekontrollit te saktesise se hartave detare elektronike ENC nevazhdim te projektit ALNO-HIP</t>
  </si>
  <si>
    <t>Programe te licensuara per sektoret e IGJIU-se(AutoCadcivil,Autocadmap3D, Sletch up etj)</t>
  </si>
  <si>
    <t>Blerje, Paisje kompjuterike dhe Kancelarike për Dixhitalizimin dhe Sistemimin e Arkivit</t>
  </si>
  <si>
    <t>Zhvillimi i kapaciteteve  Ç1009; M1019; P1020; S1021; P1022; P1023;T1012;Z1024;Z1025;R1014;R1015;I1016</t>
  </si>
  <si>
    <t>Blerje pajisjesh per zhvillimin e eventeve, trajnimeve dhe backthon-eve (Ekran LED te Brendshem, Ndricim profesional, kamera per takime online) per godinen 2 te QISM</t>
  </si>
  <si>
    <t>Ndertim objekti shumefunksional per akomodimin e Komandes, Shtabit dhe Kompanise se Mbeshtetjes ne pronen nr.86 C Ferraj Tirane</t>
  </si>
  <si>
    <t>Rikonstruksion teresor i nderteses se komandes dhe shtabit te batalionit.(Rep 4007) demtuar nga termeti,rrethimi,sistemi i sigurise, ndertim depo karburanti, rikonstruksion oficine, rikondtruksion parqesh prona nr.149 Peze-Helmes</t>
  </si>
  <si>
    <t>Rikonstruksion ndertesash , rrethim pjesor , ndertim sistem sigurie Rep nr.4009 prona nr.176 Ferraj, Tirane</t>
  </si>
  <si>
    <t>Ndertim grup-depo per administrimin e pajisjeve dhe akomodimin e kompanise II te kerkim shpetimit, ne pronen nr.86, Reparti Ushtarak nr.4030, Ferraj, Tirane</t>
  </si>
  <si>
    <t>Rikonstruksion deposh,godina 1 kateshe,truproje,rrethim pjesor,sistem sigurie grup depo mengel prona nr.318,319 mengel</t>
  </si>
  <si>
    <t>Ndërtimin e sistemit të Telefonise VoIP &amp; VTC n ë FA(Radiorele Digitale) + FD</t>
  </si>
  <si>
    <t>rrjet</t>
  </si>
  <si>
    <t>Automatizimi i Burimeve te Mbrojtjes ( Permiresimi  I sistemit te automatizimit, SIMB)</t>
  </si>
  <si>
    <t>Blerje Pajisje per permiresimin e Kapaciteteve Operacionale dhe Sigurise te Rrjeteve Kompjuterike te Forcave të Armatosura</t>
  </si>
  <si>
    <t>Rikonstruksion i godinave te demtuara nga termeti prona 231 ne SHPU Durres Vila nr.1 dhe nr.2(seksioni i vjeter) nr.4 dhe nr.8</t>
  </si>
  <si>
    <t>Sistemim infrastruktures + Postoblloku nr.4 + Tranazhim i fushes se futbollit ne Garnizonin Skenderbej</t>
  </si>
  <si>
    <t>Paisje me elementet e sistemit te sigurise elektronike ne Rep.Usht.Nr.6630 Garnizoni Skenderbej , OFFA dhe SHPU</t>
  </si>
  <si>
    <t>18az427</t>
  </si>
  <si>
    <t>Godine 2k(Mbulim me cati, rikonstruksion I nyjeve dhe higjenes sanitare</t>
  </si>
  <si>
    <t>nr projekti</t>
  </si>
  <si>
    <t>Bateri UPS 100VA AKSHE</t>
  </si>
  <si>
    <t>numer pacientesh</t>
  </si>
  <si>
    <t xml:space="preserve">Rikonstruksion Godinash </t>
  </si>
  <si>
    <t>nr</t>
  </si>
  <si>
    <t>18AZ814</t>
  </si>
  <si>
    <t>Blerje mobilje per SUT</t>
  </si>
  <si>
    <t xml:space="preserve"> Emri i programit</t>
  </si>
  <si>
    <t>Sasia Faktike 
2025</t>
  </si>
  <si>
    <t>Shpenzimet Faktike 
2025</t>
  </si>
  <si>
    <t>Kosto për Njësi 
2025</t>
  </si>
  <si>
    <t>Shpenzimet (sipas /planit të rishikuar të vitit korent)</t>
  </si>
  <si>
    <t>Kosto për Njësi(sipas /planit të rishikuar të vitit korent)</t>
  </si>
  <si>
    <t>Sasia Faktike (në /fund të vitit korent) 4 mujori I</t>
  </si>
  <si>
    <t>Shpenzimet Faktike / (në fund të vitit korent) 4 mujori I</t>
  </si>
  <si>
    <t>Kosto për Njësi Faktike /(në fund të vitit korent) 4 mujori I</t>
  </si>
  <si>
    <t>Kapacitete të afta për trajnimin dhe arsimimin cilësor në Forcat e Armatosura</t>
  </si>
  <si>
    <t>Numër personeli</t>
  </si>
  <si>
    <t>Arredimi I Ambjenteve te brendshme te godinave (fakultet dhe Mense-Kuzhine te Kampusit te Ri te AFA)</t>
  </si>
  <si>
    <t>Kompletimi me pajisje informatike dhe teknologjike te dy godinave te masterplanit (fakultetit dhe menses) TIK</t>
  </si>
  <si>
    <t>Pasurimi me literature te bibliotekes se AFAsje pajisje dhe orendi te dy godinave te masterplanit (fakultetit dhe menses)</t>
  </si>
  <si>
    <t xml:space="preserve">Fond i ngrire </t>
  </si>
  <si>
    <t>projekte</t>
  </si>
  <si>
    <t>Mbrojtja e jetes njerzore, prones, trashigimise kulturore dhe pyjet ndaj zjarrit</t>
  </si>
  <si>
    <t>Ore/pune</t>
  </si>
  <si>
    <t>Shtetas të ndihmuar, banesat e të cileve janë dëmtuar nga fatkeqësi të ndryshme.</t>
  </si>
  <si>
    <t>Nr. Familjesh</t>
  </si>
  <si>
    <t>Nr.projektesh</t>
  </si>
  <si>
    <t>Nr.i mjeteve</t>
  </si>
  <si>
    <t>Bashkite /fatkeqesi natyrore te menaxhuara/Digat</t>
  </si>
  <si>
    <t>Bashkite /fatkeqesi natyrore te menaxhuara/masa parandaluese dhe rehabilituese</t>
  </si>
  <si>
    <t>20AE502</t>
  </si>
  <si>
    <t>Blerje rafte per arkiven AKMC</t>
  </si>
  <si>
    <t>Nr. Raftesh</t>
  </si>
  <si>
    <t>20AE503</t>
  </si>
  <si>
    <t>Blerje paisje zyre AKMC</t>
  </si>
  <si>
    <t>Nr. Paisje</t>
  </si>
  <si>
    <t>Nr. Bashki</t>
  </si>
  <si>
    <t>Nr. Projektesh</t>
  </si>
  <si>
    <t>Bashkefinancim Albadapt/ Climate Service for Resilient Albania/Green Climate Fund (GCF) në bashkëpunim me GIZ</t>
  </si>
  <si>
    <t>22AG209</t>
  </si>
  <si>
    <t xml:space="preserve">EWREKA, programi IPA South Adriatic 2021-2027 </t>
  </si>
  <si>
    <t>Nr. Prokjektesh</t>
  </si>
  <si>
    <t>22AG210</t>
  </si>
  <si>
    <t xml:space="preserve"> KOMOAL, UCPM DGECHO </t>
  </si>
  <si>
    <t>22AG211</t>
  </si>
  <si>
    <t xml:space="preserve"> LOCAL DRM2 (Strengthening Disaster Risk Management Capability at Local Level 2), DG ECHO </t>
  </si>
  <si>
    <t>22AG212</t>
  </si>
  <si>
    <t xml:space="preserve"> FORESET FIRE STRUGA (FFS), UCPM EG ECHO </t>
  </si>
  <si>
    <t>22AG213</t>
  </si>
  <si>
    <t xml:space="preserve"> REAGO </t>
  </si>
  <si>
    <t>25AC102</t>
  </si>
  <si>
    <t xml:space="preserve">Investime per zyrat e QMC-ve </t>
  </si>
  <si>
    <t>Nr. Qenrdash te investuara</t>
  </si>
  <si>
    <t>25AG601</t>
  </si>
  <si>
    <t>Investim per fuksionalizimin e salles se Serverit</t>
  </si>
  <si>
    <t>M170203 (25AC001)</t>
  </si>
  <si>
    <t>Siguria kibernetike</t>
  </si>
  <si>
    <t>Nr.projekti sipas natyres</t>
  </si>
  <si>
    <t>Bashkefinancim, TVSH dhe taksa doganore</t>
  </si>
  <si>
    <t>Nr pagesa</t>
  </si>
  <si>
    <t>Stokut mallra ushqimore (rezerve materiale shteterore)</t>
  </si>
  <si>
    <t>TON</t>
  </si>
  <si>
    <t>Blerje ushqim per bageti</t>
  </si>
  <si>
    <t>21AD302</t>
  </si>
  <si>
    <t>Blerje mallra ushqimore Rezerve Shteti</t>
  </si>
  <si>
    <t>21AD303</t>
  </si>
  <si>
    <t>Blerje mallra industrial Rezerve Shteti</t>
  </si>
  <si>
    <t xml:space="preserve"> Sa Resilience</t>
  </si>
  <si>
    <t>Albadapt/ Climate Service for Resilient Albania/Green Climate Fund (GCF) në bashkëpunim me GIZ</t>
  </si>
  <si>
    <t>Projekt I huaj EMERGE</t>
  </si>
  <si>
    <t>EWREKA, programi IPA South Adriatic 2021-2027</t>
  </si>
  <si>
    <t xml:space="preserve"> KOMOAL, UCPM DGECHO</t>
  </si>
  <si>
    <t>LOCAL DRM 2 (Strengthening Disaster Risk Management Capability at Local Level 2), DG ECHO</t>
  </si>
  <si>
    <t xml:space="preserve"> FOREST FIRE STRUGA (FFS), UCPM EG ECHO</t>
  </si>
  <si>
    <t xml:space="preserve"> "REAGO"</t>
  </si>
  <si>
    <t>Finanicim I huaj</t>
  </si>
  <si>
    <t>22AG214</t>
  </si>
  <si>
    <t>PKMCSH-AKMC</t>
  </si>
  <si>
    <t>22AG215</t>
  </si>
  <si>
    <t>Cache: Command and Control for Health and Environmental Security</t>
  </si>
  <si>
    <t xml:space="preserve">Grant Albadapt/(EAR - MHEëS) </t>
  </si>
  <si>
    <t>22AG202 </t>
  </si>
  <si>
    <t>22AG201 </t>
  </si>
  <si>
    <t>tobeready (19AC501)</t>
  </si>
  <si>
    <t>22AG203 </t>
  </si>
  <si>
    <t>22AG205 </t>
  </si>
  <si>
    <t>22AG206 </t>
  </si>
  <si>
    <t>18AY926</t>
  </si>
  <si>
    <t>Ndertim parku I mbuluar per automjetet ushtarake ne RU nr.1010 Shkoder</t>
  </si>
  <si>
    <t>18AY927</t>
  </si>
  <si>
    <t>Ndertim objekti shumefunksional 3 kate mbi toke per akomodimin e Komandes dhe Shtabit te Forces Tokesore</t>
  </si>
  <si>
    <t>18AY928</t>
  </si>
  <si>
    <t>Ndertim depo AM ne garnizonin Pajet Bize</t>
  </si>
  <si>
    <t>Fond I ngrire/Kompletim I objekteve specifike me sisteme kondicionimi, pajisje palestre dhe pajisje shendetesore</t>
  </si>
  <si>
    <t>18AZ048</t>
  </si>
  <si>
    <t>Permiresimi I in frastrukturesdhe rikonstruksioni I bankines"T", prona nr.1150 Porto Palermo</t>
  </si>
  <si>
    <t>18AZ049</t>
  </si>
  <si>
    <t>Rikonstruksionj I tunelit per depo armatimi ne Pashaliman Vlore</t>
  </si>
  <si>
    <t>18AZ050</t>
  </si>
  <si>
    <t>Ndertim I dallgethyesit dhe bankines jugore, nr.12 Pashaliman Vlore</t>
  </si>
  <si>
    <t>18AZ068</t>
  </si>
  <si>
    <t>Konvertues tensioni</t>
  </si>
  <si>
    <t>18AZ216</t>
  </si>
  <si>
    <t>Kompletimi me pajisje dhe instrumenta meterologjike dhe ngritja e sistemit te trasmetimit te te dhenave SHMU</t>
  </si>
  <si>
    <t>numer sitemi</t>
  </si>
  <si>
    <t>nr.sisteme</t>
  </si>
  <si>
    <t>18AZ240</t>
  </si>
  <si>
    <t>Ndertim I infrastruktures baza ajrore Kucove( Ndertim I sistemit te furnizimit me karburant te automjeteve)</t>
  </si>
  <si>
    <t>18AZ241</t>
  </si>
  <si>
    <t>Aneksi 3.1 Raporti i performancës së produkteve të programit sipas artikujve</t>
  </si>
  <si>
    <t>Kodi I Produktit</t>
  </si>
  <si>
    <t>Sasia</t>
  </si>
  <si>
    <t>Transferta për Buxhetet Familjare dhe Individët</t>
  </si>
  <si>
    <t>Ft</t>
  </si>
  <si>
    <t xml:space="preserve">Ndertim objektesh dhe punime per rikonstruksion godina KFT </t>
  </si>
  <si>
    <t>Armatim I lehte, municion dhe pajisje e makineri per Forcat e Armatosura</t>
  </si>
  <si>
    <t>Fond I ngrire/Kompletim I objekteve specifike me sisteme kondicionimi , pajisje palestre dhe pajisje shendetesore</t>
  </si>
  <si>
    <t>Totali i shpenzime buxhetore</t>
  </si>
  <si>
    <t>INVESTIMI I HUAJ</t>
  </si>
  <si>
    <t>Blerje licencave per permiresimin dhe perditesimin e Sistemeve te Mbrojtjes Kibernetike per Forcat e Armatosura. (NJYSK)</t>
  </si>
  <si>
    <t>18CI5411</t>
  </si>
  <si>
    <t>Rikonstruksion i objekteve nr.25 (Palestra e vjeter) dhe nr.28 (Palestra e re), ne garnoizonin "Skenderbej"</t>
  </si>
  <si>
    <t>I RI</t>
  </si>
  <si>
    <t>Qendra rajonale e Emergjencave Krane</t>
  </si>
  <si>
    <t>Fond I ngrire</t>
  </si>
  <si>
    <t>Qendra rajonale e Emergjencave Bushat</t>
  </si>
  <si>
    <t>Blerje pajisje TIK per sektorin Audio-Video</t>
  </si>
  <si>
    <t>Godine 2k (mbulim me cati, rikonstruksioni I nyjeve higjno sanitare)</t>
  </si>
  <si>
    <t>Blerje Studime e projektime (Art.231)</t>
  </si>
  <si>
    <t xml:space="preserve">Fond I ngrire </t>
  </si>
  <si>
    <t>Totali i shpenzimeve nga të Ardhura jashte limiti</t>
  </si>
  <si>
    <t>M2</t>
  </si>
  <si>
    <t>Rikonstruksion Godinash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</si>
</sst>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"/>
    <numFmt numFmtId="165" formatCode="_(* #,##0_);_(* \(#,##0\);_(* &quot;-&quot;??_);_(@_)"/>
    <numFmt numFmtId="166" formatCode="#,##0.0"/>
    <numFmt numFmtId="167" formatCode="_(* #,##0.0_);_(* \(#,##0.0\);_(* &quot;-&quot;??_);_(@_)"/>
    <numFmt numFmtId="168" formatCode="0.0%"/>
    <numFmt numFmtId="169" formatCode="0.0"/>
    <numFmt numFmtId="170" formatCode="_-* #,##0.00_-;\-* #,##0.00_-;_-* &quot;-&quot;??_-;_-@_-"/>
    <numFmt numFmtId="171" formatCode="_-* #,##0_-;\-* #,##0_-;_-* &quot;-&quot;_-;_-@_-"/>
    <numFmt numFmtId="172" formatCode="_-* #,##0.00_L_e_k_-;\-* #,##0.00_L_e_k_-;_-* &quot;-&quot;??_L_e_k_-;_-@_-"/>
    <numFmt numFmtId="173" formatCode="&quot;   &quot;@"/>
    <numFmt numFmtId="174" formatCode="&quot;      &quot;@"/>
    <numFmt numFmtId="175" formatCode="&quot;         &quot;@"/>
    <numFmt numFmtId="176" formatCode="&quot;            &quot;@"/>
    <numFmt numFmtId="177" formatCode="&quot;               &quot;@"/>
    <numFmt numFmtId="178" formatCode="#,##0.000"/>
    <numFmt numFmtId="179" formatCode="mmmm\ d\,\ yyyy"/>
    <numFmt numFmtId="180" formatCode="_([$€]* #,##0.00_);_([$€]* \(#,##0.00\);_([$€]* &quot;-&quot;??_);_(@_)"/>
    <numFmt numFmtId="181" formatCode="#,##0\ &quot;Kč&quot;;\-#,##0\ &quot;Kč&quot;"/>
    <numFmt numFmtId="182" formatCode="_-&quot;¢&quot;* #,##0_-;\-&quot;¢&quot;* #,##0_-;_-&quot;¢&quot;* &quot;-&quot;_-;_-@_-"/>
    <numFmt numFmtId="183" formatCode="_-&quot;¢&quot;* #,##0.00_-;\-&quot;¢&quot;* #,##0.00_-;_-&quot;¢&quot;* &quot;-&quot;??_-;_-@_-"/>
    <numFmt numFmtId="184" formatCode="[&gt;=0.05]#,##0.0;[&lt;=-0.05]\-#,##0.0;?0.0"/>
    <numFmt numFmtId="185" formatCode="[Black]#,##0.0;[Black]\-#,##0.0;;"/>
    <numFmt numFmtId="186" formatCode="[Black][&gt;0.05]#,##0.0;[Black][&lt;-0.05]\-#,##0.0;;"/>
    <numFmt numFmtId="187" formatCode="[Black][&gt;0.5]#,##0;[Black][&lt;-0.5]\-#,##0;;"/>
    <numFmt numFmtId="188" formatCode="#,##0.0____"/>
    <numFmt numFmtId="189" formatCode="General\ \ \ \ \ \ "/>
    <numFmt numFmtId="190" formatCode="0.0\ \ \ \ \ \ \ \ "/>
    <numFmt numFmtId="191" formatCode="mmmm\ yyyy"/>
    <numFmt numFmtId="192" formatCode="\$#,##0.00\ ;\(\$#,##0.00\)"/>
    <numFmt numFmtId="193" formatCode="_-* #,##0_-;\-* #,##0_-;_-* &quot;-&quot;??_-;_-@_-"/>
  </numFmts>
  <fonts count="17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7"/>
      <color rgb="FFC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80808"/>
      <name val="Arial"/>
      <family val="2"/>
    </font>
    <font>
      <sz val="10"/>
      <name val="Arial"/>
      <family val="2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7"/>
      <color rgb="FF080808"/>
      <name val="Arial"/>
      <family val="2"/>
    </font>
    <font>
      <b/>
      <sz val="9"/>
      <color rgb="FF080808"/>
      <name val="Arial"/>
      <family val="2"/>
    </font>
    <font>
      <b/>
      <sz val="7"/>
      <color rgb="FF0070C0"/>
      <name val="Arial"/>
      <family val="2"/>
    </font>
    <font>
      <sz val="8"/>
      <color rgb="FF000000"/>
      <name val="Calibri"/>
      <family val="2"/>
    </font>
    <font>
      <sz val="7"/>
      <color theme="1"/>
      <name val="Arial"/>
      <family val="2"/>
    </font>
    <font>
      <sz val="8"/>
      <color rgb="FF000000"/>
      <name val="SansSerif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FF0000"/>
      <name val="Arial"/>
      <family val="2"/>
    </font>
    <font>
      <b/>
      <sz val="9"/>
      <color rgb="FF000000"/>
      <name val="Calibri"/>
      <family val="2"/>
    </font>
    <font>
      <sz val="7"/>
      <color rgb="FF00B050"/>
      <name val="Arial"/>
      <family val="2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7"/>
      <color rgb="FF7030A0"/>
      <name val="Arial"/>
      <family val="2"/>
    </font>
    <font>
      <sz val="8"/>
      <color rgb="FF050505"/>
      <name val="SansSerif"/>
      <family val="2"/>
    </font>
    <font>
      <b/>
      <sz val="11"/>
      <color rgb="FFFF0000"/>
      <name val="Calibri"/>
      <family val="2"/>
      <scheme val="minor"/>
    </font>
    <font>
      <sz val="9"/>
      <name val="SansSerif"/>
      <family val="2"/>
    </font>
    <font>
      <sz val="8"/>
      <name val="Arial"/>
      <family val="2"/>
    </font>
    <font>
      <b/>
      <sz val="7"/>
      <color rgb="FF7030A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</font>
    <font>
      <b/>
      <sz val="8"/>
      <name val="Calibri"/>
      <family val="2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6"/>
      <color rgb="FF050505"/>
      <name val="Arial"/>
      <family val="2"/>
    </font>
    <font>
      <sz val="9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238"/>
    </font>
    <font>
      <b/>
      <sz val="8"/>
      <color rgb="FF050505"/>
      <name val="SansSerif"/>
      <family val="2"/>
    </font>
    <font>
      <b/>
      <sz val="8"/>
      <color rgb="FF050505"/>
      <name val="Calibri"/>
      <family val="2"/>
    </font>
    <font>
      <sz val="8"/>
      <color rgb="FF050505"/>
      <name val="Arial"/>
      <family val="2"/>
    </font>
    <font>
      <sz val="8"/>
      <name val="Calibri"/>
      <family val="2"/>
      <scheme val="minor"/>
    </font>
    <font>
      <sz val="8"/>
      <name val="Times New Roman"/>
      <family val="1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Times New Roman"/>
      <family val="1"/>
    </font>
    <font>
      <b/>
      <sz val="7"/>
      <color rgb="FFC00000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1"/>
      <name val="Calibri"/>
      <family val="2"/>
      <scheme val="minor"/>
    </font>
    <font>
      <sz val="12"/>
      <name val="Times New Roman"/>
      <family val="1"/>
      <charset val="238"/>
    </font>
    <font>
      <b/>
      <sz val="8"/>
      <color rgb="FFFF0000"/>
      <name val="Times New Roman"/>
      <family val="1"/>
    </font>
    <font>
      <b/>
      <i/>
      <sz val="11"/>
      <color rgb="FFFF0000"/>
      <name val="Calibri"/>
      <family val="2"/>
      <scheme val="minor"/>
    </font>
    <font>
      <b/>
      <sz val="10"/>
      <color rgb="FFC00000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11.5"/>
      <color theme="1"/>
      <name val="Times New Roman"/>
      <family val="1"/>
    </font>
    <font>
      <i/>
      <sz val="11.5"/>
      <color theme="1"/>
      <name val="Times New Roman"/>
      <family val="1"/>
    </font>
    <font>
      <b/>
      <i/>
      <sz val="11.5"/>
      <color theme="1"/>
      <name val="Times New Roman"/>
      <family val="1"/>
    </font>
    <font>
      <b/>
      <sz val="7"/>
      <color rgb="FF00B0F0"/>
      <name val="Arial"/>
      <family val="2"/>
    </font>
    <font>
      <sz val="7"/>
      <name val="Calibri"/>
      <family val="2"/>
      <scheme val="minor"/>
    </font>
    <font>
      <sz val="10"/>
      <color rgb="FFC00000"/>
      <name val="Times New Roman"/>
      <family val="1"/>
    </font>
    <font>
      <sz val="8"/>
      <name val="SansSerif"/>
      <family val="2"/>
    </font>
    <font>
      <b/>
      <sz val="9"/>
      <name val="Arial"/>
      <family val="2"/>
    </font>
    <font>
      <b/>
      <sz val="8"/>
      <name val="Calibri"/>
      <family val="2"/>
      <scheme val="minor"/>
    </font>
    <font>
      <b/>
      <sz val="11"/>
      <name val="Arial"/>
      <family val="2"/>
    </font>
    <font>
      <sz val="12"/>
      <name val="Times New Roman"/>
      <family val="1"/>
    </font>
    <font>
      <b/>
      <sz val="8"/>
      <name val="SansSerif"/>
      <family val="2"/>
    </font>
    <font>
      <sz val="12"/>
      <color theme="1"/>
      <name val="Calibri"/>
      <family val="2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7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FF0000"/>
      <name val="Arial"/>
      <family val="2"/>
    </font>
    <font>
      <sz val="8"/>
      <color rgb="FFFF0000"/>
      <name val="Calibri"/>
      <family val="2"/>
    </font>
    <font>
      <b/>
      <sz val="8"/>
      <color theme="1"/>
      <name val="Calibri"/>
      <family val="2"/>
      <scheme val="minor"/>
    </font>
    <font>
      <sz val="8"/>
      <name val="SansSerif"/>
    </font>
    <font>
      <b/>
      <sz val="8"/>
      <name val="SansSerif"/>
    </font>
    <font>
      <b/>
      <sz val="8"/>
      <color rgb="FFC00000"/>
      <name val="Arial"/>
      <family val="2"/>
    </font>
    <font>
      <b/>
      <sz val="8"/>
      <color rgb="FFC00000"/>
      <name val="SansSerif"/>
      <family val="2"/>
    </font>
    <font>
      <b/>
      <sz val="8"/>
      <color rgb="FF080808"/>
      <name val="Arial"/>
      <family val="2"/>
    </font>
    <font>
      <sz val="8"/>
      <color rgb="FF000000"/>
      <name val="Arial"/>
      <family val="2"/>
    </font>
    <font>
      <b/>
      <sz val="11"/>
      <color rgb="FFC00000"/>
      <name val="Arial"/>
      <family val="2"/>
    </font>
    <font>
      <b/>
      <sz val="9"/>
      <color rgb="FFC00000"/>
      <name val="SansSerif"/>
      <family val="2"/>
    </font>
    <font>
      <b/>
      <sz val="9"/>
      <color rgb="FFC00000"/>
      <name val="Arial"/>
      <family val="2"/>
    </font>
    <font>
      <sz val="9"/>
      <color rgb="FF000000"/>
      <name val="Arial"/>
      <family val="2"/>
    </font>
    <font>
      <b/>
      <sz val="8"/>
      <color rgb="FFC00000"/>
      <name val="Times New Roman"/>
      <family val="1"/>
    </font>
    <font>
      <b/>
      <sz val="8"/>
      <color rgb="FF080808"/>
      <name val="Times New Roman"/>
      <family val="1"/>
    </font>
    <font>
      <sz val="8"/>
      <color rgb="FF000000"/>
      <name val="Times New Roman"/>
      <family val="1"/>
    </font>
    <font>
      <sz val="8"/>
      <color rgb="FFC00000"/>
      <name val="Arial"/>
      <family val="2"/>
    </font>
    <font>
      <sz val="7"/>
      <color rgb="FF000000"/>
      <name val="Calibri"/>
      <family val="2"/>
    </font>
    <font>
      <b/>
      <sz val="8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C00000"/>
      <name val="Times New Roman"/>
      <family val="1"/>
    </font>
    <font>
      <b/>
      <sz val="11"/>
      <color rgb="FF080808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9"/>
      <color rgb="FF080808"/>
      <name val="Arial"/>
      <family val="2"/>
    </font>
    <font>
      <b/>
      <sz val="8"/>
      <color rgb="FF000000"/>
      <name val="Times New Roman"/>
      <family val="1"/>
    </font>
    <font>
      <sz val="10"/>
      <color rgb="FF050505"/>
      <name val="Times New Roman"/>
      <family val="1"/>
    </font>
    <font>
      <b/>
      <sz val="8"/>
      <color theme="1"/>
      <name val="Times New Roman"/>
      <family val="1"/>
    </font>
    <font>
      <sz val="8"/>
      <color rgb="FFC00000"/>
      <name val="Calibri"/>
      <family val="2"/>
      <scheme val="minor"/>
    </font>
    <font>
      <sz val="12"/>
      <color rgb="FF050505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50505"/>
      <name val="Times New Roman"/>
      <family val="1"/>
    </font>
    <font>
      <sz val="11"/>
      <color rgb="FF050505"/>
      <name val="Times New Roman"/>
      <family val="1"/>
    </font>
    <font>
      <b/>
      <sz val="11"/>
      <color rgb="FF050505"/>
      <name val="Times New Roman"/>
      <family val="1"/>
    </font>
    <font>
      <sz val="9"/>
      <color rgb="FFFF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50505"/>
      <name val="Times New Roman"/>
      <family val="1"/>
    </font>
    <font>
      <b/>
      <sz val="8"/>
      <color rgb="FF050505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color rgb="FF050505"/>
      <name val="SansSerif"/>
      <family val="2"/>
    </font>
    <font>
      <b/>
      <sz val="10"/>
      <color rgb="FF050505"/>
      <name val="SansSerif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b/>
      <sz val="9"/>
      <name val="SansSerif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EBF1D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4"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/>
      <right/>
      <top style="double">
        <color rgb="FF000000"/>
      </top>
      <bottom/>
      <diagonal/>
    </border>
    <border>
      <left style="thin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5050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/>
      <bottom style="thin">
        <color rgb="FF05050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medium">
        <color indexed="64"/>
      </top>
      <bottom style="thin">
        <color rgb="FF050505"/>
      </bottom>
      <diagonal/>
    </border>
    <border>
      <left/>
      <right/>
      <top style="medium">
        <color indexed="64"/>
      </top>
      <bottom/>
      <diagonal/>
    </border>
    <border>
      <left style="thin">
        <color rgb="FF050505"/>
      </left>
      <right style="medium">
        <color indexed="64"/>
      </right>
      <top style="thin">
        <color rgb="FF050505"/>
      </top>
      <bottom style="thin">
        <color rgb="FF050505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50505"/>
      </right>
      <top style="medium">
        <color indexed="64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50505"/>
      </bottom>
      <diagonal/>
    </border>
    <border>
      <left/>
      <right style="thin">
        <color rgb="FF050505"/>
      </right>
      <top style="thin">
        <color rgb="FF000000"/>
      </top>
      <bottom style="hair">
        <color rgb="FF05050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50505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50505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thin">
        <color rgb="FF050505"/>
      </top>
      <bottom style="thin">
        <color rgb="FF000000"/>
      </bottom>
      <diagonal/>
    </border>
    <border>
      <left/>
      <right style="medium">
        <color indexed="64"/>
      </right>
      <top style="thin">
        <color rgb="FF050505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50505"/>
      </bottom>
      <diagonal/>
    </border>
    <border>
      <left style="medium">
        <color indexed="64"/>
      </left>
      <right/>
      <top/>
      <bottom style="thin">
        <color rgb="FF050505"/>
      </bottom>
      <diagonal/>
    </border>
    <border>
      <left style="medium">
        <color indexed="64"/>
      </left>
      <right/>
      <top style="double">
        <color rgb="FF000000"/>
      </top>
      <bottom style="hair">
        <color rgb="FF050505"/>
      </bottom>
      <diagonal/>
    </border>
    <border>
      <left/>
      <right style="thin">
        <color rgb="FF000000"/>
      </right>
      <top style="double">
        <color rgb="FF000000"/>
      </top>
      <bottom style="hair">
        <color rgb="FF050505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50505"/>
      </left>
      <right/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50505"/>
      </left>
      <right style="medium">
        <color indexed="64"/>
      </right>
      <top/>
      <bottom style="thin">
        <color rgb="FF050505"/>
      </bottom>
      <diagonal/>
    </border>
    <border>
      <left style="medium">
        <color indexed="64"/>
      </left>
      <right style="thin">
        <color rgb="FF050505"/>
      </right>
      <top style="medium">
        <color indexed="64"/>
      </top>
      <bottom style="medium">
        <color indexed="64"/>
      </bottom>
      <diagonal/>
    </border>
    <border>
      <left style="thin">
        <color rgb="FF050505"/>
      </left>
      <right style="thin">
        <color rgb="FF050505"/>
      </right>
      <top style="medium">
        <color indexed="64"/>
      </top>
      <bottom style="medium">
        <color indexed="64"/>
      </bottom>
      <diagonal/>
    </border>
    <border>
      <left style="thin">
        <color rgb="FF05050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50505"/>
      </left>
      <right/>
      <top style="double">
        <color rgb="FF050505"/>
      </top>
      <bottom/>
      <diagonal/>
    </border>
    <border>
      <left style="double">
        <color rgb="FF050505"/>
      </left>
      <right/>
      <top/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/>
      <diagonal/>
    </border>
    <border>
      <left/>
      <right style="thin">
        <color rgb="FF000000"/>
      </right>
      <top style="thin">
        <color rgb="FF050505"/>
      </top>
      <bottom/>
      <diagonal/>
    </border>
    <border>
      <left style="dotted">
        <color rgb="FF000000"/>
      </left>
      <right/>
      <top style="double">
        <color rgb="FF050505"/>
      </top>
      <bottom style="thin">
        <color rgb="FF050505"/>
      </bottom>
      <diagonal/>
    </border>
    <border>
      <left/>
      <right style="thin">
        <color rgb="FF000000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50505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50505"/>
      </bottom>
      <diagonal/>
    </border>
    <border>
      <left/>
      <right/>
      <top style="medium">
        <color indexed="64"/>
      </top>
      <bottom style="thin">
        <color rgb="FF050505"/>
      </bottom>
      <diagonal/>
    </border>
    <border>
      <left/>
      <right style="medium">
        <color indexed="64"/>
      </right>
      <top style="medium">
        <color indexed="64"/>
      </top>
      <bottom style="thin">
        <color rgb="FF050505"/>
      </bottom>
      <diagonal/>
    </border>
    <border>
      <left/>
      <right style="medium">
        <color indexed="64"/>
      </right>
      <top style="thin">
        <color rgb="FF050505"/>
      </top>
      <bottom style="thin">
        <color rgb="FF050505"/>
      </bottom>
      <diagonal/>
    </border>
    <border>
      <left style="medium">
        <color indexed="64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dotted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50505"/>
      </right>
      <top style="medium">
        <color indexed="64"/>
      </top>
      <bottom/>
      <diagonal/>
    </border>
    <border>
      <left style="medium">
        <color indexed="64"/>
      </left>
      <right style="thin">
        <color rgb="FF050505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thin">
        <color rgb="FF050505"/>
      </right>
      <top style="double">
        <color rgb="FF050505"/>
      </top>
      <bottom/>
      <diagonal/>
    </border>
    <border>
      <left style="thin">
        <color rgb="FF050505"/>
      </left>
      <right style="thin">
        <color rgb="FF050505"/>
      </right>
      <top style="double">
        <color rgb="FF050505"/>
      </top>
      <bottom/>
      <diagonal/>
    </border>
    <border>
      <left style="thin">
        <color rgb="FF050505"/>
      </left>
      <right style="thin">
        <color rgb="FF050505"/>
      </right>
      <top style="thin">
        <color rgb="FF050505"/>
      </top>
      <bottom/>
      <diagonal/>
    </border>
    <border>
      <left style="thin">
        <color rgb="FF050505"/>
      </left>
      <right style="medium">
        <color indexed="64"/>
      </right>
      <top style="thin">
        <color rgb="FF050505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50505"/>
      </left>
      <right/>
      <top style="medium">
        <color indexed="64"/>
      </top>
      <bottom/>
      <diagonal/>
    </border>
    <border>
      <left/>
      <right style="double">
        <color rgb="FF050505"/>
      </right>
      <top style="medium">
        <color indexed="64"/>
      </top>
      <bottom style="thin">
        <color rgb="FF050505"/>
      </bottom>
      <diagonal/>
    </border>
    <border>
      <left style="thin">
        <color rgb="FF050505"/>
      </left>
      <right style="medium">
        <color indexed="64"/>
      </right>
      <top style="thin">
        <color rgb="FF050505"/>
      </top>
      <bottom style="hair">
        <color rgb="FF050505"/>
      </bottom>
      <diagonal/>
    </border>
    <border>
      <left style="medium">
        <color indexed="64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50505"/>
      </left>
      <right/>
      <top style="thin">
        <color rgb="FF050505"/>
      </top>
      <bottom style="thin">
        <color rgb="FF000000"/>
      </bottom>
      <diagonal/>
    </border>
    <border>
      <left/>
      <right style="thin">
        <color rgb="FF050505"/>
      </right>
      <top style="thin">
        <color rgb="FF050505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medium">
        <color indexed="64"/>
      </top>
      <bottom/>
      <diagonal/>
    </border>
    <border>
      <left style="thin">
        <color rgb="FF050505"/>
      </left>
      <right style="thin">
        <color rgb="FF050505"/>
      </right>
      <top/>
      <bottom/>
      <diagonal/>
    </border>
    <border>
      <left style="thin">
        <color rgb="FF050505"/>
      </left>
      <right style="thin">
        <color rgb="FF050505"/>
      </right>
      <top/>
      <bottom style="thin">
        <color rgb="FF000000"/>
      </bottom>
      <diagonal/>
    </border>
    <border>
      <left style="thin">
        <color rgb="FF050505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50505"/>
      </right>
      <top/>
      <bottom style="thin">
        <color rgb="FF000000"/>
      </bottom>
      <diagonal/>
    </border>
    <border>
      <left style="thin">
        <color rgb="FF050505"/>
      </left>
      <right/>
      <top style="thin">
        <color rgb="FF000000"/>
      </top>
      <bottom style="thin">
        <color rgb="FF050505"/>
      </bottom>
      <diagonal/>
    </border>
    <border>
      <left/>
      <right style="thin">
        <color rgb="FF050505"/>
      </right>
      <top style="thin">
        <color rgb="FF000000"/>
      </top>
      <bottom style="thin">
        <color rgb="FF050505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rgb="FF050505"/>
      </left>
      <right/>
      <top style="thin">
        <color rgb="FF050505"/>
      </top>
      <bottom style="hair">
        <color rgb="FF050505"/>
      </bottom>
      <diagonal/>
    </border>
  </borders>
  <cellStyleXfs count="569">
    <xf numFmtId="0" fontId="0" fillId="0" borderId="0"/>
    <xf numFmtId="0" fontId="6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43" fontId="13" fillId="0" borderId="0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9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9" fontId="13" fillId="0" borderId="0" applyFont="0" applyFill="0" applyBorder="0" applyAlignment="0" applyProtection="0"/>
    <xf numFmtId="0" fontId="13" fillId="4" borderId="1"/>
    <xf numFmtId="0" fontId="13" fillId="4" borderId="1"/>
    <xf numFmtId="0" fontId="6" fillId="4" borderId="1"/>
    <xf numFmtId="0" fontId="6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0" fontId="6" fillId="4" borderId="1"/>
    <xf numFmtId="0" fontId="83" fillId="4" borderId="1"/>
    <xf numFmtId="171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172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0" fontId="45" fillId="4" borderId="1"/>
    <xf numFmtId="0" fontId="6" fillId="4" borderId="1"/>
    <xf numFmtId="0" fontId="45" fillId="4" borderId="1"/>
    <xf numFmtId="0" fontId="6" fillId="4" borderId="1"/>
    <xf numFmtId="0" fontId="6" fillId="4" borderId="1"/>
    <xf numFmtId="43" fontId="6" fillId="4" borderId="1" applyFont="0" applyFill="0" applyBorder="0" applyAlignment="0" applyProtection="0"/>
    <xf numFmtId="0" fontId="6" fillId="4" borderId="1"/>
    <xf numFmtId="0" fontId="6" fillId="4" borderId="1"/>
    <xf numFmtId="9" fontId="85" fillId="4" borderId="1" applyFont="0" applyFill="0" applyBorder="0" applyAlignment="0" applyProtection="0"/>
    <xf numFmtId="172" fontId="6" fillId="4" borderId="1" applyFont="0" applyFill="0" applyBorder="0" applyAlignment="0" applyProtection="0"/>
    <xf numFmtId="0" fontId="86" fillId="4" borderId="1">
      <alignment vertical="top"/>
    </xf>
    <xf numFmtId="0" fontId="86" fillId="4" borderId="1">
      <alignment vertical="top"/>
    </xf>
    <xf numFmtId="0" fontId="81" fillId="4" borderId="1"/>
    <xf numFmtId="0" fontId="81" fillId="4" borderId="1"/>
    <xf numFmtId="0" fontId="81" fillId="4" borderId="1"/>
    <xf numFmtId="173" fontId="43" fillId="4" borderId="1" applyFont="0" applyFill="0" applyBorder="0" applyAlignment="0" applyProtection="0"/>
    <xf numFmtId="174" fontId="43" fillId="4" borderId="1" applyFont="0" applyFill="0" applyBorder="0" applyAlignment="0" applyProtection="0"/>
    <xf numFmtId="0" fontId="87" fillId="14" borderId="1" applyNumberFormat="0" applyBorder="0" applyAlignment="0" applyProtection="0"/>
    <xf numFmtId="0" fontId="87" fillId="15" borderId="1" applyNumberFormat="0" applyBorder="0" applyAlignment="0" applyProtection="0"/>
    <xf numFmtId="0" fontId="87" fillId="16" borderId="1" applyNumberFormat="0" applyBorder="0" applyAlignment="0" applyProtection="0"/>
    <xf numFmtId="0" fontId="87" fillId="17" borderId="1" applyNumberFormat="0" applyBorder="0" applyAlignment="0" applyProtection="0"/>
    <xf numFmtId="0" fontId="87" fillId="18" borderId="1" applyNumberFormat="0" applyBorder="0" applyAlignment="0" applyProtection="0"/>
    <xf numFmtId="0" fontId="87" fillId="19" borderId="1" applyNumberFormat="0" applyBorder="0" applyAlignment="0" applyProtection="0"/>
    <xf numFmtId="175" fontId="43" fillId="4" borderId="1" applyFont="0" applyFill="0" applyBorder="0" applyAlignment="0" applyProtection="0"/>
    <xf numFmtId="176" fontId="43" fillId="4" borderId="1" applyFont="0" applyFill="0" applyBorder="0" applyAlignment="0" applyProtection="0"/>
    <xf numFmtId="0" fontId="87" fillId="20" borderId="1" applyNumberFormat="0" applyBorder="0" applyAlignment="0" applyProtection="0"/>
    <xf numFmtId="0" fontId="87" fillId="21" borderId="1" applyNumberFormat="0" applyBorder="0" applyAlignment="0" applyProtection="0"/>
    <xf numFmtId="0" fontId="87" fillId="22" borderId="1" applyNumberFormat="0" applyBorder="0" applyAlignment="0" applyProtection="0"/>
    <xf numFmtId="0" fontId="87" fillId="17" borderId="1" applyNumberFormat="0" applyBorder="0" applyAlignment="0" applyProtection="0"/>
    <xf numFmtId="0" fontId="87" fillId="20" borderId="1" applyNumberFormat="0" applyBorder="0" applyAlignment="0" applyProtection="0"/>
    <xf numFmtId="0" fontId="87" fillId="23" borderId="1" applyNumberFormat="0" applyBorder="0" applyAlignment="0" applyProtection="0"/>
    <xf numFmtId="177" fontId="43" fillId="4" borderId="1" applyFont="0" applyFill="0" applyBorder="0" applyAlignment="0" applyProtection="0"/>
    <xf numFmtId="0" fontId="88" fillId="24" borderId="1" applyNumberFormat="0" applyBorder="0" applyAlignment="0" applyProtection="0"/>
    <xf numFmtId="0" fontId="88" fillId="21" borderId="1" applyNumberFormat="0" applyBorder="0" applyAlignment="0" applyProtection="0"/>
    <xf numFmtId="0" fontId="88" fillId="22" borderId="1" applyNumberFormat="0" applyBorder="0" applyAlignment="0" applyProtection="0"/>
    <xf numFmtId="0" fontId="88" fillId="25" borderId="1" applyNumberFormat="0" applyBorder="0" applyAlignment="0" applyProtection="0"/>
    <xf numFmtId="0" fontId="88" fillId="26" borderId="1" applyNumberFormat="0" applyBorder="0" applyAlignment="0" applyProtection="0"/>
    <xf numFmtId="0" fontId="88" fillId="27" borderId="1" applyNumberFormat="0" applyBorder="0" applyAlignment="0" applyProtection="0"/>
    <xf numFmtId="0" fontId="88" fillId="28" borderId="1" applyNumberFormat="0" applyBorder="0" applyAlignment="0" applyProtection="0"/>
    <xf numFmtId="0" fontId="88" fillId="29" borderId="1" applyNumberFormat="0" applyBorder="0" applyAlignment="0" applyProtection="0"/>
    <xf numFmtId="0" fontId="88" fillId="30" borderId="1" applyNumberFormat="0" applyBorder="0" applyAlignment="0" applyProtection="0"/>
    <xf numFmtId="0" fontId="88" fillId="25" borderId="1" applyNumberFormat="0" applyBorder="0" applyAlignment="0" applyProtection="0"/>
    <xf numFmtId="0" fontId="88" fillId="26" borderId="1" applyNumberFormat="0" applyBorder="0" applyAlignment="0" applyProtection="0"/>
    <xf numFmtId="0" fontId="88" fillId="31" borderId="1" applyNumberFormat="0" applyBorder="0" applyAlignment="0" applyProtection="0"/>
    <xf numFmtId="0" fontId="89" fillId="15" borderId="1" applyNumberFormat="0" applyBorder="0" applyAlignment="0" applyProtection="0"/>
    <xf numFmtId="3" fontId="45" fillId="32" borderId="138" applyNumberFormat="0"/>
    <xf numFmtId="0" fontId="90" fillId="33" borderId="139" applyNumberFormat="0" applyAlignment="0" applyProtection="0"/>
    <xf numFmtId="0" fontId="91" fillId="4" borderId="140" applyNumberFormat="0" applyFont="0" applyFill="0" applyAlignment="0" applyProtection="0"/>
    <xf numFmtId="0" fontId="92" fillId="34" borderId="141" applyNumberFormat="0" applyAlignment="0" applyProtection="0"/>
    <xf numFmtId="0" fontId="93" fillId="4" borderId="1"/>
    <xf numFmtId="43" fontId="6" fillId="4" borderId="1" applyFont="0" applyFill="0" applyBorder="0" applyAlignment="0" applyProtection="0"/>
    <xf numFmtId="172" fontId="45" fillId="4" borderId="1" applyFont="0" applyFill="0" applyBorder="0" applyAlignment="0" applyProtection="0"/>
    <xf numFmtId="172" fontId="45" fillId="4" borderId="1" applyFont="0" applyFill="0" applyBorder="0" applyAlignment="0" applyProtection="0"/>
    <xf numFmtId="172" fontId="6" fillId="4" borderId="1" applyFont="0" applyFill="0" applyBorder="0" applyAlignment="0" applyProtection="0"/>
    <xf numFmtId="172" fontId="6" fillId="4" borderId="1" applyFont="0" applyFill="0" applyBorder="0" applyAlignment="0" applyProtection="0"/>
    <xf numFmtId="172" fontId="45" fillId="4" borderId="1" applyFont="0" applyFill="0" applyBorder="0" applyAlignment="0" applyProtection="0"/>
    <xf numFmtId="178" fontId="94" fillId="4" borderId="1">
      <alignment horizontal="right" vertical="top"/>
    </xf>
    <xf numFmtId="3" fontId="6" fillId="4" borderId="1" applyFill="0" applyBorder="0" applyAlignment="0" applyProtection="0"/>
    <xf numFmtId="0" fontId="93" fillId="4" borderId="1"/>
    <xf numFmtId="0" fontId="93" fillId="4" borderId="1"/>
    <xf numFmtId="5" fontId="6" fillId="4" borderId="1" applyFill="0" applyBorder="0" applyAlignment="0" applyProtection="0"/>
    <xf numFmtId="179" fontId="6" fillId="4" borderId="1" applyFill="0" applyBorder="0" applyAlignment="0" applyProtection="0"/>
    <xf numFmtId="0" fontId="91" fillId="4" borderId="1" applyFont="0" applyFill="0" applyBorder="0" applyAlignment="0" applyProtection="0"/>
    <xf numFmtId="0" fontId="45" fillId="13" borderId="1" applyNumberFormat="0" applyBorder="0" applyProtection="0"/>
    <xf numFmtId="180" fontId="45" fillId="4" borderId="1" applyFont="0" applyFill="0" applyBorder="0" applyAlignment="0" applyProtection="0"/>
    <xf numFmtId="168" fontId="6" fillId="35" borderId="137" applyNumberFormat="0" applyFont="0" applyBorder="0" applyAlignment="0" applyProtection="0">
      <alignment horizontal="right"/>
    </xf>
    <xf numFmtId="0" fontId="95" fillId="4" borderId="1" applyNumberFormat="0" applyFill="0" applyBorder="0" applyAlignment="0" applyProtection="0"/>
    <xf numFmtId="3" fontId="91" fillId="4" borderId="1" applyFont="0" applyFill="0" applyBorder="0" applyAlignment="0" applyProtection="0"/>
    <xf numFmtId="3" fontId="91" fillId="4" borderId="1" applyFont="0" applyFill="0" applyBorder="0" applyAlignment="0" applyProtection="0"/>
    <xf numFmtId="2" fontId="6" fillId="4" borderId="1" applyFill="0" applyBorder="0" applyAlignment="0" applyProtection="0"/>
    <xf numFmtId="0" fontId="96" fillId="16" borderId="1" applyNumberFormat="0" applyBorder="0" applyAlignment="0" applyProtection="0"/>
    <xf numFmtId="38" fontId="97" fillId="13" borderId="1" applyNumberFormat="0" applyBorder="0" applyAlignment="0" applyProtection="0"/>
    <xf numFmtId="0" fontId="98" fillId="4" borderId="142" applyNumberFormat="0" applyFill="0" applyAlignment="0" applyProtection="0"/>
    <xf numFmtId="0" fontId="99" fillId="4" borderId="143" applyNumberFormat="0" applyFill="0" applyAlignment="0" applyProtection="0"/>
    <xf numFmtId="0" fontId="100" fillId="4" borderId="144" applyNumberFormat="0" applyFill="0" applyAlignment="0" applyProtection="0"/>
    <xf numFmtId="0" fontId="100" fillId="4" borderId="1" applyNumberFormat="0" applyFill="0" applyBorder="0" applyAlignment="0" applyProtection="0"/>
    <xf numFmtId="0" fontId="101" fillId="4" borderId="1" applyNumberFormat="0" applyFill="0" applyBorder="0" applyAlignment="0" applyProtection="0">
      <alignment vertical="top"/>
      <protection locked="0"/>
    </xf>
    <xf numFmtId="0" fontId="45" fillId="36" borderId="138" applyNumberFormat="0" applyBorder="0" applyProtection="0"/>
    <xf numFmtId="166" fontId="43" fillId="4" borderId="1" applyFont="0" applyFill="0" applyBorder="0" applyAlignment="0" applyProtection="0"/>
    <xf numFmtId="3" fontId="43" fillId="4" borderId="1" applyFont="0" applyFill="0" applyBorder="0" applyAlignment="0" applyProtection="0"/>
    <xf numFmtId="10" fontId="97" fillId="37" borderId="50" applyNumberFormat="0" applyBorder="0" applyAlignment="0" applyProtection="0"/>
    <xf numFmtId="0" fontId="102" fillId="19" borderId="139" applyNumberFormat="0" applyAlignment="0" applyProtection="0"/>
    <xf numFmtId="0" fontId="102" fillId="19" borderId="139" applyNumberFormat="0" applyAlignment="0" applyProtection="0"/>
    <xf numFmtId="3" fontId="45" fillId="38" borderId="1" applyNumberFormat="0" applyBorder="0"/>
    <xf numFmtId="166" fontId="103" fillId="4" borderId="1"/>
    <xf numFmtId="0" fontId="104" fillId="4" borderId="145" applyNumberFormat="0" applyFill="0" applyAlignment="0" applyProtection="0"/>
    <xf numFmtId="181" fontId="91" fillId="4" borderId="1" applyFont="0" applyFill="0" applyBorder="0" applyAlignment="0" applyProtection="0"/>
    <xf numFmtId="171" fontId="84" fillId="4" borderId="1" applyFont="0" applyFill="0" applyBorder="0" applyAlignment="0" applyProtection="0"/>
    <xf numFmtId="170" fontId="84" fillId="4" borderId="1" applyFont="0" applyFill="0" applyBorder="0" applyAlignment="0" applyProtection="0"/>
    <xf numFmtId="41" fontId="84" fillId="4" borderId="1" applyFont="0" applyFill="0" applyBorder="0" applyAlignment="0" applyProtection="0"/>
    <xf numFmtId="43" fontId="84" fillId="4" borderId="1" applyFont="0" applyFill="0" applyBorder="0" applyAlignment="0" applyProtection="0"/>
    <xf numFmtId="5" fontId="91" fillId="4" borderId="1" applyFont="0" applyFill="0" applyBorder="0" applyAlignment="0" applyProtection="0"/>
    <xf numFmtId="0" fontId="45" fillId="39" borderId="138" applyNumberFormat="0"/>
    <xf numFmtId="3" fontId="45" fillId="40" borderId="138" applyNumberFormat="0" applyFont="0" applyAlignment="0"/>
    <xf numFmtId="182" fontId="84" fillId="4" borderId="1" applyFont="0" applyFill="0" applyBorder="0" applyAlignment="0" applyProtection="0"/>
    <xf numFmtId="183" fontId="84" fillId="4" borderId="1" applyFont="0" applyFill="0" applyBorder="0" applyAlignment="0" applyProtection="0"/>
    <xf numFmtId="42" fontId="84" fillId="4" borderId="1" applyFont="0" applyFill="0" applyBorder="0" applyAlignment="0" applyProtection="0"/>
    <xf numFmtId="44" fontId="84" fillId="4" borderId="1" applyFont="0" applyFill="0" applyBorder="0" applyAlignment="0" applyProtection="0"/>
    <xf numFmtId="0" fontId="105" fillId="41" borderId="1" applyNumberFormat="0" applyBorder="0" applyAlignment="0" applyProtection="0"/>
    <xf numFmtId="0" fontId="106" fillId="4" borderId="1"/>
    <xf numFmtId="0" fontId="107" fillId="4" borderId="1"/>
    <xf numFmtId="0" fontId="93" fillId="4" borderId="1"/>
    <xf numFmtId="0" fontId="93" fillId="4" borderId="1"/>
    <xf numFmtId="0" fontId="93" fillId="4" borderId="1"/>
    <xf numFmtId="0" fontId="93" fillId="4" borderId="1"/>
    <xf numFmtId="0" fontId="87" fillId="4" borderId="1"/>
    <xf numFmtId="0" fontId="6" fillId="4" borderId="1"/>
    <xf numFmtId="0" fontId="6" fillId="4" borderId="1" applyNumberFormat="0" applyFill="0" applyBorder="0" applyAlignment="0" applyProtection="0"/>
    <xf numFmtId="0" fontId="6" fillId="4" borderId="1">
      <alignment vertical="top"/>
    </xf>
    <xf numFmtId="0" fontId="6" fillId="4" borderId="1" applyNumberFormat="0" applyFill="0" applyBorder="0" applyAlignment="0" applyProtection="0"/>
    <xf numFmtId="0" fontId="6" fillId="4" borderId="1"/>
    <xf numFmtId="0" fontId="45" fillId="4" borderId="1"/>
    <xf numFmtId="0" fontId="6" fillId="4" borderId="1"/>
    <xf numFmtId="0" fontId="45" fillId="4" borderId="1"/>
    <xf numFmtId="0" fontId="6" fillId="4" borderId="1">
      <alignment vertical="top"/>
    </xf>
    <xf numFmtId="184" fontId="62" fillId="4" borderId="1" applyFill="0" applyBorder="0" applyAlignment="0" applyProtection="0">
      <alignment horizontal="right"/>
    </xf>
    <xf numFmtId="0" fontId="6" fillId="4" borderId="1"/>
    <xf numFmtId="0" fontId="45" fillId="42" borderId="138" applyNumberFormat="0" applyFont="0" applyAlignment="0" applyProtection="0"/>
    <xf numFmtId="0" fontId="108" fillId="33" borderId="146" applyNumberFormat="0" applyAlignment="0" applyProtection="0"/>
    <xf numFmtId="40" fontId="109" fillId="37" borderId="1">
      <alignment horizontal="right"/>
    </xf>
    <xf numFmtId="10" fontId="45" fillId="4" borderId="1" applyFont="0" applyFill="0" applyBorder="0" applyAlignment="0" applyProtection="0"/>
    <xf numFmtId="9" fontId="6" fillId="4" borderId="1" applyFont="0" applyFill="0" applyBorder="0" applyAlignment="0" applyProtection="0"/>
    <xf numFmtId="9" fontId="45" fillId="4" borderId="1" applyFont="0" applyFill="0" applyBorder="0" applyAlignment="0" applyProtection="0"/>
    <xf numFmtId="9" fontId="13" fillId="4" borderId="1" applyFont="0" applyFill="0" applyBorder="0" applyAlignment="0" applyProtection="0"/>
    <xf numFmtId="185" fontId="43" fillId="4" borderId="1" applyFont="0" applyFill="0" applyBorder="0" applyAlignment="0" applyProtection="0"/>
    <xf numFmtId="186" fontId="43" fillId="4" borderId="1" applyFont="0" applyFill="0" applyBorder="0" applyAlignment="0" applyProtection="0"/>
    <xf numFmtId="187" fontId="43" fillId="4" borderId="1" applyFont="0" applyFill="0" applyBorder="0" applyAlignment="0" applyProtection="0"/>
    <xf numFmtId="2" fontId="91" fillId="4" borderId="1" applyFont="0" applyFill="0" applyBorder="0" applyAlignment="0" applyProtection="0"/>
    <xf numFmtId="188" fontId="62" fillId="4" borderId="1" applyFill="0" applyBorder="0" applyAlignment="0">
      <alignment horizontal="centerContinuous"/>
    </xf>
    <xf numFmtId="3" fontId="45" fillId="43" borderId="138" applyNumberFormat="0"/>
    <xf numFmtId="0" fontId="43" fillId="4" borderId="1"/>
    <xf numFmtId="0" fontId="110" fillId="4" borderId="1"/>
    <xf numFmtId="0" fontId="86" fillId="4" borderId="1">
      <alignment vertical="top"/>
    </xf>
    <xf numFmtId="0" fontId="45" fillId="4" borderId="1" applyNumberFormat="0"/>
    <xf numFmtId="0" fontId="111" fillId="4" borderId="1" applyNumberFormat="0" applyFill="0" applyBorder="0" applyAlignment="0" applyProtection="0"/>
    <xf numFmtId="0" fontId="112" fillId="4" borderId="147" applyNumberFormat="0" applyFill="0" applyAlignment="0" applyProtection="0"/>
    <xf numFmtId="0" fontId="113" fillId="4" borderId="1" applyNumberFormat="0" applyFill="0" applyBorder="0" applyAlignment="0" applyProtection="0"/>
    <xf numFmtId="0" fontId="59" fillId="4" borderId="1" applyNumberFormat="0" applyFont="0" applyFill="0" applyBorder="0" applyAlignment="0" applyProtection="0">
      <alignment vertical="top"/>
    </xf>
    <xf numFmtId="0" fontId="114" fillId="4" borderId="1" applyNumberFormat="0" applyFont="0" applyFill="0" applyBorder="0" applyAlignment="0" applyProtection="0">
      <alignment vertical="top"/>
    </xf>
    <xf numFmtId="0" fontId="114" fillId="4" borderId="1" applyNumberFormat="0" applyFont="0" applyFill="0" applyBorder="0" applyAlignment="0" applyProtection="0">
      <alignment vertical="top"/>
    </xf>
    <xf numFmtId="0" fontId="59" fillId="4" borderId="1" applyNumberFormat="0" applyFont="0" applyFill="0" applyBorder="0" applyAlignment="0" applyProtection="0"/>
    <xf numFmtId="0" fontId="59" fillId="4" borderId="1" applyNumberFormat="0" applyFont="0" applyFill="0" applyBorder="0" applyAlignment="0" applyProtection="0">
      <alignment horizontal="left" vertical="top"/>
    </xf>
    <xf numFmtId="0" fontId="59" fillId="4" borderId="1" applyNumberFormat="0" applyFont="0" applyFill="0" applyBorder="0" applyAlignment="0" applyProtection="0">
      <alignment horizontal="left" vertical="top"/>
    </xf>
    <xf numFmtId="0" fontId="59" fillId="4" borderId="1" applyNumberFormat="0" applyFont="0" applyFill="0" applyBorder="0" applyAlignment="0" applyProtection="0">
      <alignment horizontal="left" vertical="top"/>
    </xf>
    <xf numFmtId="0" fontId="62" fillId="4" borderId="1"/>
    <xf numFmtId="0" fontId="115" fillId="4" borderId="1">
      <alignment horizontal="left" wrapText="1"/>
    </xf>
    <xf numFmtId="0" fontId="116" fillId="4" borderId="55" applyNumberFormat="0" applyFont="0" applyFill="0" applyBorder="0" applyAlignment="0" applyProtection="0">
      <alignment horizontal="center" wrapText="1"/>
    </xf>
    <xf numFmtId="189" fontId="43" fillId="4" borderId="1" applyNumberFormat="0" applyFont="0" applyFill="0" applyBorder="0" applyAlignment="0" applyProtection="0">
      <alignment horizontal="right"/>
    </xf>
    <xf numFmtId="0" fontId="116" fillId="4" borderId="1" applyNumberFormat="0" applyFont="0" applyFill="0" applyBorder="0" applyAlignment="0" applyProtection="0">
      <alignment horizontal="left" indent="1"/>
    </xf>
    <xf numFmtId="190" fontId="116" fillId="4" borderId="1" applyNumberFormat="0" applyFont="0" applyFill="0" applyBorder="0" applyAlignment="0" applyProtection="0"/>
    <xf numFmtId="0" fontId="62" fillId="4" borderId="55" applyNumberFormat="0" applyFont="0" applyFill="0" applyAlignment="0" applyProtection="0">
      <alignment horizontal="center"/>
    </xf>
    <xf numFmtId="0" fontId="62" fillId="4" borderId="1" applyNumberFormat="0" applyFont="0" applyFill="0" applyBorder="0" applyAlignment="0" applyProtection="0">
      <alignment horizontal="left" wrapText="1" indent="1"/>
    </xf>
    <xf numFmtId="0" fontId="116" fillId="4" borderId="1" applyNumberFormat="0" applyFont="0" applyFill="0" applyBorder="0" applyAlignment="0" applyProtection="0">
      <alignment horizontal="left" indent="1"/>
    </xf>
    <xf numFmtId="0" fontId="62" fillId="4" borderId="1" applyNumberFormat="0" applyFont="0" applyFill="0" applyBorder="0" applyAlignment="0" applyProtection="0">
      <alignment horizontal="left" wrapText="1" indent="2"/>
    </xf>
    <xf numFmtId="191" fontId="62" fillId="4" borderId="1">
      <alignment horizontal="right"/>
    </xf>
    <xf numFmtId="0" fontId="117" fillId="4" borderId="1" applyNumberFormat="0" applyFill="0" applyBorder="0" applyAlignment="0" applyProtection="0"/>
    <xf numFmtId="0" fontId="118" fillId="4" borderId="1" applyNumberFormat="0" applyFill="0" applyBorder="0" applyAlignment="0" applyProtection="0"/>
    <xf numFmtId="169" fontId="65" fillId="4" borderId="1">
      <alignment horizontal="right"/>
    </xf>
    <xf numFmtId="0" fontId="119" fillId="4" borderId="1" applyProtection="0"/>
    <xf numFmtId="192" fontId="119" fillId="4" borderId="1" applyProtection="0"/>
    <xf numFmtId="0" fontId="120" fillId="4" borderId="1" applyProtection="0"/>
    <xf numFmtId="0" fontId="121" fillId="4" borderId="1" applyProtection="0"/>
    <xf numFmtId="0" fontId="119" fillId="4" borderId="148" applyProtection="0"/>
    <xf numFmtId="0" fontId="119" fillId="4" borderId="1"/>
    <xf numFmtId="10" fontId="119" fillId="4" borderId="1" applyProtection="0"/>
    <xf numFmtId="0" fontId="119" fillId="4" borderId="1"/>
    <xf numFmtId="2" fontId="119" fillId="4" borderId="1" applyProtection="0"/>
    <xf numFmtId="4" fontId="119" fillId="4" borderId="1" applyProtection="0"/>
    <xf numFmtId="0" fontId="13" fillId="4" borderId="1"/>
    <xf numFmtId="0" fontId="13" fillId="4" borderId="1"/>
    <xf numFmtId="0" fontId="6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3" fillId="4" borderId="1"/>
    <xf numFmtId="0" fontId="109" fillId="4" borderId="1">
      <alignment vertical="top"/>
    </xf>
    <xf numFmtId="3" fontId="6" fillId="32" borderId="138" applyNumberFormat="0"/>
    <xf numFmtId="0" fontId="93" fillId="4" borderId="1"/>
    <xf numFmtId="0" fontId="9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172" fontId="6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172" fontId="6" fillId="4" borderId="1" applyFont="0" applyFill="0" applyBorder="0" applyAlignment="0" applyProtection="0"/>
    <xf numFmtId="172" fontId="6" fillId="4" borderId="1" applyFont="0" applyFill="0" applyBorder="0" applyAlignment="0" applyProtection="0"/>
    <xf numFmtId="43" fontId="13" fillId="4" borderId="1" applyFont="0" applyFill="0" applyBorder="0" applyAlignment="0" applyProtection="0"/>
    <xf numFmtId="170" fontId="13" fillId="4" borderId="1" applyFont="0" applyFill="0" applyBorder="0" applyAlignment="0" applyProtection="0"/>
    <xf numFmtId="170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178" fontId="94" fillId="4" borderId="1">
      <alignment horizontal="right" vertical="top"/>
    </xf>
    <xf numFmtId="178" fontId="94" fillId="4" borderId="1">
      <alignment horizontal="right" vertical="top"/>
    </xf>
    <xf numFmtId="0" fontId="93" fillId="4" borderId="1"/>
    <xf numFmtId="0" fontId="93" fillId="4" borderId="1"/>
    <xf numFmtId="0" fontId="93" fillId="4" borderId="1"/>
    <xf numFmtId="0" fontId="93" fillId="4" borderId="1"/>
    <xf numFmtId="0" fontId="6" fillId="13" borderId="1" applyNumberFormat="0" applyBorder="0" applyProtection="0"/>
    <xf numFmtId="180" fontId="6" fillId="4" borderId="1" applyFont="0" applyFill="0" applyBorder="0" applyAlignment="0" applyProtection="0"/>
    <xf numFmtId="168" fontId="6" fillId="35" borderId="137" applyNumberFormat="0" applyFont="0" applyBorder="0" applyAlignment="0" applyProtection="0">
      <alignment horizontal="right"/>
    </xf>
    <xf numFmtId="38" fontId="34" fillId="13" borderId="1" applyNumberFormat="0" applyBorder="0" applyAlignment="0" applyProtection="0"/>
    <xf numFmtId="38" fontId="34" fillId="13" borderId="1" applyNumberFormat="0" applyBorder="0" applyAlignment="0" applyProtection="0"/>
    <xf numFmtId="0" fontId="6" fillId="36" borderId="138" applyNumberFormat="0" applyBorder="0" applyProtection="0"/>
    <xf numFmtId="10" fontId="34" fillId="37" borderId="50" applyNumberFormat="0" applyBorder="0" applyAlignment="0" applyProtection="0"/>
    <xf numFmtId="10" fontId="34" fillId="37" borderId="50" applyNumberFormat="0" applyBorder="0" applyAlignment="0" applyProtection="0"/>
    <xf numFmtId="0" fontId="102" fillId="19" borderId="139" applyNumberFormat="0" applyAlignment="0" applyProtection="0"/>
    <xf numFmtId="3" fontId="6" fillId="38" borderId="1" applyNumberFormat="0" applyBorder="0"/>
    <xf numFmtId="0" fontId="6" fillId="39" borderId="138" applyNumberFormat="0"/>
    <xf numFmtId="3" fontId="6" fillId="40" borderId="138" applyNumberFormat="0" applyFont="0" applyAlignment="0"/>
    <xf numFmtId="0" fontId="93" fillId="4" borderId="1"/>
    <xf numFmtId="0" fontId="93" fillId="4" borderId="1"/>
    <xf numFmtId="0" fontId="93" fillId="4" borderId="1"/>
    <xf numFmtId="0" fontId="93" fillId="4" borderId="1"/>
    <xf numFmtId="0" fontId="93" fillId="4" borderId="1"/>
    <xf numFmtId="0" fontId="93" fillId="4" borderId="1"/>
    <xf numFmtId="0" fontId="93" fillId="4" borderId="1"/>
    <xf numFmtId="0" fontId="93" fillId="4" borderId="1"/>
    <xf numFmtId="0" fontId="6" fillId="4" borderId="1"/>
    <xf numFmtId="0" fontId="6" fillId="4" borderId="1"/>
    <xf numFmtId="0" fontId="6" fillId="4" borderId="1"/>
    <xf numFmtId="0" fontId="6" fillId="4" borderId="1">
      <alignment vertical="top"/>
    </xf>
    <xf numFmtId="0" fontId="6" fillId="4" borderId="1">
      <alignment vertical="top"/>
    </xf>
    <xf numFmtId="0" fontId="13" fillId="4" borderId="1"/>
    <xf numFmtId="0" fontId="6" fillId="4" borderId="1"/>
    <xf numFmtId="0" fontId="13" fillId="4" borderId="1"/>
    <xf numFmtId="0" fontId="6" fillId="4" borderId="1"/>
    <xf numFmtId="184" fontId="62" fillId="4" borderId="1" applyFill="0" applyBorder="0" applyAlignment="0" applyProtection="0">
      <alignment horizontal="right"/>
    </xf>
    <xf numFmtId="0" fontId="6" fillId="4" borderId="1"/>
    <xf numFmtId="0" fontId="6" fillId="42" borderId="138" applyNumberFormat="0" applyFont="0" applyAlignment="0" applyProtection="0"/>
    <xf numFmtId="0" fontId="6" fillId="42" borderId="138" applyNumberFormat="0" applyFont="0" applyAlignment="0" applyProtection="0"/>
    <xf numFmtId="40" fontId="109" fillId="37" borderId="1">
      <alignment horizontal="right"/>
    </xf>
    <xf numFmtId="10" fontId="6" fillId="4" borderId="1" applyFont="0" applyFill="0" applyBorder="0" applyAlignment="0" applyProtection="0"/>
    <xf numFmtId="9" fontId="6" fillId="4" borderId="1" applyFont="0" applyFill="0" applyBorder="0" applyAlignment="0" applyProtection="0"/>
    <xf numFmtId="9" fontId="6" fillId="4" borderId="1" applyFont="0" applyFill="0" applyBorder="0" applyAlignment="0" applyProtection="0"/>
    <xf numFmtId="9" fontId="6" fillId="4" borderId="1" applyFont="0" applyFill="0" applyBorder="0" applyAlignment="0" applyProtection="0"/>
    <xf numFmtId="9" fontId="6" fillId="4" borderId="1" applyFont="0" applyFill="0" applyBorder="0" applyAlignment="0" applyProtection="0"/>
    <xf numFmtId="188" fontId="62" fillId="4" borderId="1" applyFill="0" applyBorder="0" applyAlignment="0">
      <alignment horizontal="centerContinuous"/>
    </xf>
    <xf numFmtId="3" fontId="6" fillId="43" borderId="138" applyNumberFormat="0"/>
    <xf numFmtId="0" fontId="109" fillId="4" borderId="1">
      <alignment vertical="top"/>
    </xf>
    <xf numFmtId="0" fontId="6" fillId="4" borderId="1" applyNumberFormat="0"/>
    <xf numFmtId="0" fontId="62" fillId="4" borderId="1"/>
    <xf numFmtId="0" fontId="62" fillId="4" borderId="55" applyNumberFormat="0" applyFont="0" applyFill="0" applyAlignment="0" applyProtection="0">
      <alignment horizontal="center"/>
    </xf>
    <xf numFmtId="0" fontId="62" fillId="4" borderId="1" applyNumberFormat="0" applyFont="0" applyFill="0" applyBorder="0" applyAlignment="0" applyProtection="0">
      <alignment horizontal="left" wrapText="1" indent="1"/>
    </xf>
    <xf numFmtId="0" fontId="62" fillId="4" borderId="1" applyNumberFormat="0" applyFont="0" applyFill="0" applyBorder="0" applyAlignment="0" applyProtection="0">
      <alignment horizontal="left" wrapText="1" indent="2"/>
    </xf>
    <xf numFmtId="191" fontId="62" fillId="4" borderId="1">
      <alignment horizontal="right"/>
    </xf>
    <xf numFmtId="169" fontId="81" fillId="4" borderId="1">
      <alignment horizontal="right"/>
    </xf>
    <xf numFmtId="169" fontId="81" fillId="4" borderId="1">
      <alignment horizontal="right"/>
    </xf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166" fontId="6" fillId="4" borderId="1" applyFill="0" applyBorder="0" applyAlignment="0" applyProtection="0"/>
    <xf numFmtId="166" fontId="6" fillId="4" borderId="1" applyFill="0" applyBorder="0" applyAlignment="0" applyProtection="0"/>
    <xf numFmtId="43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0" fontId="6" fillId="4" borderId="1"/>
    <xf numFmtId="9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0" fontId="45" fillId="4" borderId="1"/>
    <xf numFmtId="0" fontId="45" fillId="4" borderId="1"/>
    <xf numFmtId="43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6" fillId="4" borderId="1"/>
    <xf numFmtId="43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43" fontId="6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9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9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43" fontId="13" fillId="4" borderId="1" applyFont="0" applyFill="0" applyBorder="0" applyAlignment="0" applyProtection="0"/>
    <xf numFmtId="0" fontId="13" fillId="4" borderId="1"/>
    <xf numFmtId="0" fontId="13" fillId="4" borderId="1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45" fillId="4" borderId="1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9" fontId="13" fillId="4" borderId="1" applyFont="0" applyFill="0" applyBorder="0" applyAlignment="0" applyProtection="0"/>
    <xf numFmtId="0" fontId="51" fillId="9" borderId="1" applyNumberFormat="0" applyBorder="0" applyAlignment="0" applyProtection="0"/>
    <xf numFmtId="0" fontId="52" fillId="10" borderId="1" applyNumberFormat="0" applyBorder="0" applyAlignment="0" applyProtection="0"/>
    <xf numFmtId="9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  <xf numFmtId="0" fontId="13" fillId="4" borderId="1"/>
    <xf numFmtId="43" fontId="13" fillId="4" borderId="1" applyFont="0" applyFill="0" applyBorder="0" applyAlignment="0" applyProtection="0"/>
  </cellStyleXfs>
  <cellXfs count="1746">
    <xf numFmtId="0" fontId="0" fillId="0" borderId="0" xfId="0"/>
    <xf numFmtId="3" fontId="4" fillId="2" borderId="6" xfId="0" applyNumberFormat="1" applyFont="1" applyFill="1" applyBorder="1" applyAlignment="1" applyProtection="1">
      <alignment horizontal="right" vertical="center"/>
    </xf>
    <xf numFmtId="0" fontId="0" fillId="4" borderId="1" xfId="0" applyNumberFormat="1" applyFont="1" applyFill="1" applyBorder="1" applyAlignment="1" applyProtection="1">
      <alignment wrapText="1"/>
      <protection locked="0"/>
    </xf>
    <xf numFmtId="0" fontId="2" fillId="3" borderId="9" xfId="0" applyNumberFormat="1" applyFont="1" applyFill="1" applyBorder="1" applyAlignment="1" applyProtection="1">
      <alignment horizontal="center" vertical="center" wrapText="1"/>
    </xf>
    <xf numFmtId="0" fontId="2" fillId="3" borderId="10" xfId="0" applyNumberFormat="1" applyFont="1" applyFill="1" applyBorder="1" applyAlignment="1" applyProtection="1">
      <alignment horizontal="center" vertical="center" wrapText="1"/>
    </xf>
    <xf numFmtId="0" fontId="2" fillId="3" borderId="11" xfId="0" applyNumberFormat="1" applyFont="1" applyFill="1" applyBorder="1" applyAlignment="1" applyProtection="1">
      <alignment horizontal="center" vertical="center" wrapText="1"/>
    </xf>
    <xf numFmtId="0" fontId="2" fillId="3" borderId="12" xfId="0" applyNumberFormat="1" applyFont="1" applyFill="1" applyBorder="1" applyAlignment="1" applyProtection="1">
      <alignment horizontal="center" vertical="center" wrapText="1"/>
    </xf>
    <xf numFmtId="0" fontId="2" fillId="3" borderId="13" xfId="0" applyNumberFormat="1" applyFont="1" applyFill="1" applyBorder="1" applyAlignment="1" applyProtection="1">
      <alignment horizontal="center" vertical="center" wrapText="1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5" xfId="0" applyNumberFormat="1" applyFont="1" applyFill="1" applyBorder="1" applyAlignment="1" applyProtection="1">
      <alignment horizontal="center" vertical="center"/>
    </xf>
    <xf numFmtId="4" fontId="3" fillId="2" borderId="33" xfId="0" applyNumberFormat="1" applyFont="1" applyFill="1" applyBorder="1" applyAlignment="1" applyProtection="1">
      <alignment horizontal="right" vertical="center"/>
    </xf>
    <xf numFmtId="3" fontId="3" fillId="2" borderId="33" xfId="0" applyNumberFormat="1" applyFont="1" applyFill="1" applyBorder="1" applyAlignment="1" applyProtection="1">
      <alignment horizontal="right" vertical="center"/>
    </xf>
    <xf numFmtId="4" fontId="4" fillId="2" borderId="33" xfId="0" applyNumberFormat="1" applyFont="1" applyFill="1" applyBorder="1" applyAlignment="1" applyProtection="1">
      <alignment horizontal="right" vertical="center"/>
    </xf>
    <xf numFmtId="3" fontId="4" fillId="2" borderId="33" xfId="0" applyNumberFormat="1" applyFont="1" applyFill="1" applyBorder="1" applyAlignment="1" applyProtection="1">
      <alignment horizontal="right" vertical="center"/>
    </xf>
    <xf numFmtId="0" fontId="3" fillId="2" borderId="33" xfId="0" applyNumberFormat="1" applyFont="1" applyFill="1" applyBorder="1" applyAlignment="1" applyProtection="1">
      <alignment horizontal="left" vertical="center" wrapText="1"/>
    </xf>
    <xf numFmtId="0" fontId="4" fillId="2" borderId="33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/>
    </xf>
    <xf numFmtId="0" fontId="12" fillId="4" borderId="32" xfId="0" applyNumberFormat="1" applyFont="1" applyFill="1" applyBorder="1" applyAlignment="1" applyProtection="1">
      <alignment horizontal="center" vertical="center"/>
    </xf>
    <xf numFmtId="0" fontId="12" fillId="4" borderId="33" xfId="0" applyNumberFormat="1" applyFont="1" applyFill="1" applyBorder="1" applyAlignment="1" applyProtection="1">
      <alignment horizontal="left" vertical="center"/>
    </xf>
    <xf numFmtId="0" fontId="2" fillId="3" borderId="44" xfId="0" applyNumberFormat="1" applyFont="1" applyFill="1" applyBorder="1" applyAlignment="1" applyProtection="1">
      <alignment horizontal="right" vertical="center"/>
    </xf>
    <xf numFmtId="164" fontId="2" fillId="3" borderId="45" xfId="0" applyNumberFormat="1" applyFont="1" applyFill="1" applyBorder="1" applyAlignment="1" applyProtection="1">
      <alignment horizontal="left" vertical="center"/>
    </xf>
    <xf numFmtId="0" fontId="3" fillId="2" borderId="33" xfId="0" applyNumberFormat="1" applyFont="1" applyFill="1" applyBorder="1" applyAlignment="1" applyProtection="1">
      <alignment horizontal="left" vertical="center"/>
    </xf>
    <xf numFmtId="0" fontId="4" fillId="2" borderId="32" xfId="0" applyNumberFormat="1" applyFont="1" applyFill="1" applyBorder="1" applyAlignment="1" applyProtection="1">
      <alignment horizontal="center" vertical="center"/>
    </xf>
    <xf numFmtId="0" fontId="4" fillId="2" borderId="33" xfId="0" applyNumberFormat="1" applyFont="1" applyFill="1" applyBorder="1" applyAlignment="1" applyProtection="1">
      <alignment horizontal="left" vertical="center"/>
    </xf>
    <xf numFmtId="0" fontId="2" fillId="2" borderId="32" xfId="0" applyNumberFormat="1" applyFont="1" applyFill="1" applyBorder="1" applyAlignment="1" applyProtection="1">
      <alignment horizontal="center" vertical="center"/>
    </xf>
    <xf numFmtId="0" fontId="2" fillId="2" borderId="33" xfId="0" applyNumberFormat="1" applyFont="1" applyFill="1" applyBorder="1" applyAlignment="1" applyProtection="1">
      <alignment horizontal="left" vertical="center"/>
    </xf>
    <xf numFmtId="4" fontId="2" fillId="2" borderId="33" xfId="0" applyNumberFormat="1" applyFont="1" applyFill="1" applyBorder="1" applyAlignment="1" applyProtection="1">
      <alignment horizontal="right" vertical="center"/>
    </xf>
    <xf numFmtId="0" fontId="2" fillId="2" borderId="33" xfId="0" applyNumberFormat="1" applyFont="1" applyFill="1" applyBorder="1" applyAlignment="1" applyProtection="1">
      <alignment horizontal="left" vertical="center" wrapText="1"/>
    </xf>
    <xf numFmtId="0" fontId="16" fillId="2" borderId="33" xfId="0" applyNumberFormat="1" applyFont="1" applyFill="1" applyBorder="1" applyAlignment="1" applyProtection="1">
      <alignment horizontal="left" vertical="center" wrapText="1"/>
    </xf>
    <xf numFmtId="4" fontId="16" fillId="2" borderId="33" xfId="0" applyNumberFormat="1" applyFont="1" applyFill="1" applyBorder="1" applyAlignment="1" applyProtection="1">
      <alignment horizontal="right" vertical="center"/>
    </xf>
    <xf numFmtId="3" fontId="0" fillId="0" borderId="0" xfId="0" applyNumberFormat="1"/>
    <xf numFmtId="0" fontId="20" fillId="0" borderId="0" xfId="0" applyFont="1"/>
    <xf numFmtId="0" fontId="14" fillId="4" borderId="18" xfId="0" applyNumberFormat="1" applyFont="1" applyFill="1" applyBorder="1" applyAlignment="1" applyProtection="1">
      <alignment horizontal="center" vertical="center"/>
    </xf>
    <xf numFmtId="0" fontId="14" fillId="4" borderId="29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165" fontId="0" fillId="0" borderId="0" xfId="78" applyNumberFormat="1" applyFont="1"/>
    <xf numFmtId="165" fontId="3" fillId="2" borderId="25" xfId="78" applyNumberFormat="1" applyFont="1" applyFill="1" applyBorder="1" applyAlignment="1" applyProtection="1">
      <alignment horizontal="right" vertical="center"/>
    </xf>
    <xf numFmtId="165" fontId="3" fillId="2" borderId="26" xfId="78" applyNumberFormat="1" applyFont="1" applyFill="1" applyBorder="1" applyAlignment="1" applyProtection="1">
      <alignment horizontal="right" vertical="center"/>
    </xf>
    <xf numFmtId="165" fontId="30" fillId="2" borderId="25" xfId="78" applyNumberFormat="1" applyFont="1" applyFill="1" applyBorder="1" applyAlignment="1" applyProtection="1">
      <alignment horizontal="right" vertical="center"/>
    </xf>
    <xf numFmtId="165" fontId="30" fillId="2" borderId="26" xfId="78" applyNumberFormat="1" applyFont="1" applyFill="1" applyBorder="1" applyAlignment="1" applyProtection="1">
      <alignment horizontal="right" vertical="center"/>
    </xf>
    <xf numFmtId="0" fontId="25" fillId="0" borderId="0" xfId="0" applyFont="1"/>
    <xf numFmtId="165" fontId="0" fillId="4" borderId="1" xfId="77" applyNumberFormat="1" applyFont="1"/>
    <xf numFmtId="0" fontId="29" fillId="4" borderId="0" xfId="0" applyFont="1" applyFill="1"/>
    <xf numFmtId="0" fontId="20" fillId="4" borderId="1" xfId="11" applyNumberFormat="1" applyFont="1" applyFill="1" applyBorder="1" applyAlignment="1" applyProtection="1">
      <alignment wrapText="1"/>
      <protection locked="0"/>
    </xf>
    <xf numFmtId="165" fontId="29" fillId="4" borderId="1" xfId="77" applyNumberFormat="1" applyFont="1"/>
    <xf numFmtId="0" fontId="0" fillId="0" borderId="0" xfId="0" applyAlignment="1">
      <alignment wrapText="1"/>
    </xf>
    <xf numFmtId="0" fontId="0" fillId="0" borderId="50" xfId="0" applyBorder="1"/>
    <xf numFmtId="0" fontId="10" fillId="4" borderId="66" xfId="0" applyNumberFormat="1" applyFont="1" applyFill="1" applyBorder="1" applyAlignment="1" applyProtection="1">
      <alignment horizontal="center" vertical="center"/>
    </xf>
    <xf numFmtId="0" fontId="12" fillId="4" borderId="60" xfId="0" applyNumberFormat="1" applyFont="1" applyFill="1" applyBorder="1" applyAlignment="1" applyProtection="1">
      <alignment horizontal="center" vertical="center"/>
    </xf>
    <xf numFmtId="3" fontId="12" fillId="4" borderId="61" xfId="0" applyNumberFormat="1" applyFont="1" applyFill="1" applyBorder="1" applyAlignment="1" applyProtection="1">
      <alignment horizontal="right" vertical="center"/>
    </xf>
    <xf numFmtId="0" fontId="23" fillId="4" borderId="60" xfId="0" applyNumberFormat="1" applyFont="1" applyFill="1" applyBorder="1" applyAlignment="1" applyProtection="1">
      <alignment horizontal="center" vertical="center"/>
    </xf>
    <xf numFmtId="0" fontId="23" fillId="4" borderId="33" xfId="0" applyNumberFormat="1" applyFont="1" applyFill="1" applyBorder="1" applyAlignment="1" applyProtection="1">
      <alignment horizontal="left" vertical="center" wrapText="1"/>
    </xf>
    <xf numFmtId="0" fontId="23" fillId="4" borderId="33" xfId="0" applyNumberFormat="1" applyFont="1" applyFill="1" applyBorder="1" applyAlignment="1" applyProtection="1">
      <alignment horizontal="left" vertical="center"/>
    </xf>
    <xf numFmtId="3" fontId="23" fillId="4" borderId="61" xfId="0" applyNumberFormat="1" applyFont="1" applyFill="1" applyBorder="1" applyAlignment="1" applyProtection="1">
      <alignment horizontal="right" vertical="center"/>
    </xf>
    <xf numFmtId="0" fontId="12" fillId="4" borderId="72" xfId="0" applyNumberFormat="1" applyFont="1" applyFill="1" applyBorder="1" applyAlignment="1" applyProtection="1">
      <alignment horizontal="center" vertical="center"/>
    </xf>
    <xf numFmtId="0" fontId="12" fillId="4" borderId="73" xfId="0" applyNumberFormat="1" applyFont="1" applyFill="1" applyBorder="1" applyAlignment="1" applyProtection="1">
      <alignment horizontal="left" vertical="center"/>
    </xf>
    <xf numFmtId="0" fontId="12" fillId="4" borderId="73" xfId="0" applyNumberFormat="1" applyFont="1" applyFill="1" applyBorder="1" applyAlignment="1" applyProtection="1">
      <alignment horizontal="left" vertical="center" wrapText="1"/>
    </xf>
    <xf numFmtId="0" fontId="13" fillId="4" borderId="1" xfId="88"/>
    <xf numFmtId="0" fontId="0" fillId="4" borderId="0" xfId="0" applyFill="1" applyAlignment="1" applyProtection="1">
      <alignment wrapText="1"/>
      <protection locked="0"/>
    </xf>
    <xf numFmtId="0" fontId="0" fillId="4" borderId="0" xfId="0" applyFill="1"/>
    <xf numFmtId="0" fontId="20" fillId="4" borderId="1" xfId="0" applyNumberFormat="1" applyFont="1" applyFill="1" applyBorder="1" applyAlignment="1" applyProtection="1">
      <alignment wrapText="1"/>
      <protection locked="0"/>
    </xf>
    <xf numFmtId="3" fontId="20" fillId="0" borderId="0" xfId="0" applyNumberFormat="1" applyFont="1"/>
    <xf numFmtId="0" fontId="29" fillId="4" borderId="1" xfId="0" applyNumberFormat="1" applyFont="1" applyFill="1" applyBorder="1" applyAlignment="1" applyProtection="1">
      <alignment wrapText="1"/>
      <protection locked="0"/>
    </xf>
    <xf numFmtId="43" fontId="0" fillId="0" borderId="0" xfId="0" applyNumberFormat="1"/>
    <xf numFmtId="0" fontId="55" fillId="11" borderId="88" xfId="0" applyFont="1" applyFill="1" applyBorder="1" applyAlignment="1">
      <alignment horizontal="center" vertical="center" wrapText="1"/>
    </xf>
    <xf numFmtId="0" fontId="56" fillId="0" borderId="90" xfId="0" applyFont="1" applyBorder="1" applyAlignment="1">
      <alignment horizontal="right" vertical="center"/>
    </xf>
    <xf numFmtId="0" fontId="57" fillId="0" borderId="91" xfId="0" applyFont="1" applyBorder="1" applyAlignment="1">
      <alignment vertical="center"/>
    </xf>
    <xf numFmtId="0" fontId="55" fillId="11" borderId="90" xfId="0" applyFont="1" applyFill="1" applyBorder="1" applyAlignment="1">
      <alignment horizontal="center" vertical="center" wrapText="1"/>
    </xf>
    <xf numFmtId="165" fontId="55" fillId="11" borderId="89" xfId="78" applyNumberFormat="1" applyFont="1" applyFill="1" applyBorder="1" applyAlignment="1">
      <alignment horizontal="center" vertical="center" wrapText="1"/>
    </xf>
    <xf numFmtId="165" fontId="57" fillId="0" borderId="91" xfId="78" applyNumberFormat="1" applyFont="1" applyBorder="1" applyAlignment="1">
      <alignment vertical="center"/>
    </xf>
    <xf numFmtId="165" fontId="57" fillId="0" borderId="91" xfId="78" applyNumberFormat="1" applyFont="1" applyBorder="1" applyAlignment="1">
      <alignment horizontal="center" vertical="center"/>
    </xf>
    <xf numFmtId="165" fontId="55" fillId="11" borderId="90" xfId="78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5" fillId="11" borderId="89" xfId="0" applyFont="1" applyFill="1" applyBorder="1" applyAlignment="1">
      <alignment horizontal="left" vertical="center" wrapText="1"/>
    </xf>
    <xf numFmtId="0" fontId="57" fillId="0" borderId="91" xfId="0" applyFont="1" applyBorder="1" applyAlignment="1">
      <alignment horizontal="left" vertical="center"/>
    </xf>
    <xf numFmtId="0" fontId="58" fillId="11" borderId="91" xfId="0" applyFont="1" applyFill="1" applyBorder="1" applyAlignment="1">
      <alignment horizontal="left" vertical="center" wrapText="1"/>
    </xf>
    <xf numFmtId="0" fontId="60" fillId="6" borderId="89" xfId="88" applyFont="1" applyFill="1" applyBorder="1" applyAlignment="1">
      <alignment horizontal="center" vertical="center" wrapText="1"/>
    </xf>
    <xf numFmtId="165" fontId="60" fillId="6" borderId="89" xfId="77" applyNumberFormat="1" applyFont="1" applyFill="1" applyBorder="1" applyAlignment="1">
      <alignment horizontal="center" vertical="center" wrapText="1"/>
    </xf>
    <xf numFmtId="165" fontId="54" fillId="6" borderId="89" xfId="77" applyNumberFormat="1" applyFont="1" applyFill="1" applyBorder="1" applyAlignment="1">
      <alignment horizontal="center" vertical="center" wrapText="1"/>
    </xf>
    <xf numFmtId="165" fontId="60" fillId="6" borderId="89" xfId="77" applyNumberFormat="1" applyFont="1" applyFill="1" applyBorder="1" applyAlignment="1">
      <alignment horizontal="center" vertical="center"/>
    </xf>
    <xf numFmtId="167" fontId="59" fillId="6" borderId="89" xfId="77" applyNumberFormat="1" applyFont="1" applyFill="1" applyBorder="1" applyAlignment="1">
      <alignment vertical="center" wrapText="1"/>
    </xf>
    <xf numFmtId="165" fontId="60" fillId="6" borderId="93" xfId="77" applyNumberFormat="1" applyFont="1" applyFill="1" applyBorder="1" applyAlignment="1">
      <alignment horizontal="center" vertical="center" wrapText="1"/>
    </xf>
    <xf numFmtId="0" fontId="61" fillId="4" borderId="91" xfId="88" applyFont="1" applyBorder="1" applyAlignment="1">
      <alignment horizontal="center" vertical="center" wrapText="1"/>
    </xf>
    <xf numFmtId="165" fontId="61" fillId="4" borderId="91" xfId="77" applyNumberFormat="1" applyFont="1" applyFill="1" applyBorder="1" applyAlignment="1">
      <alignment horizontal="center" vertical="center" wrapText="1"/>
    </xf>
    <xf numFmtId="165" fontId="62" fillId="4" borderId="91" xfId="77" applyNumberFormat="1" applyFont="1" applyFill="1" applyBorder="1" applyAlignment="1">
      <alignment horizontal="right" vertical="center"/>
    </xf>
    <xf numFmtId="167" fontId="62" fillId="4" borderId="91" xfId="77" applyNumberFormat="1" applyFont="1" applyFill="1" applyBorder="1" applyAlignment="1">
      <alignment horizontal="right" vertical="center"/>
    </xf>
    <xf numFmtId="165" fontId="62" fillId="4" borderId="67" xfId="77" applyNumberFormat="1" applyFont="1" applyFill="1" applyBorder="1" applyAlignment="1">
      <alignment horizontal="right" vertical="center"/>
    </xf>
    <xf numFmtId="165" fontId="29" fillId="4" borderId="1" xfId="96" applyNumberFormat="1" applyFont="1"/>
    <xf numFmtId="165" fontId="63" fillId="4" borderId="91" xfId="77" applyNumberFormat="1" applyFont="1" applyFill="1" applyBorder="1" applyAlignment="1">
      <alignment horizontal="right" vertical="center"/>
    </xf>
    <xf numFmtId="0" fontId="61" fillId="6" borderId="91" xfId="88" applyFont="1" applyFill="1" applyBorder="1" applyAlignment="1">
      <alignment horizontal="center" vertical="center" wrapText="1"/>
    </xf>
    <xf numFmtId="165" fontId="60" fillId="12" borderId="89" xfId="77" applyNumberFormat="1" applyFont="1" applyFill="1" applyBorder="1" applyAlignment="1">
      <alignment horizontal="center" vertical="center" wrapText="1"/>
    </xf>
    <xf numFmtId="167" fontId="62" fillId="12" borderId="91" xfId="77" applyNumberFormat="1" applyFont="1" applyFill="1" applyBorder="1" applyAlignment="1">
      <alignment horizontal="right" vertical="center"/>
    </xf>
    <xf numFmtId="165" fontId="13" fillId="4" borderId="1" xfId="77" applyNumberFormat="1" applyFill="1" applyBorder="1"/>
    <xf numFmtId="165" fontId="29" fillId="4" borderId="1" xfId="77" applyNumberFormat="1" applyFont="1" applyFill="1" applyBorder="1"/>
    <xf numFmtId="165" fontId="53" fillId="4" borderId="1" xfId="77" applyNumberFormat="1" applyFont="1" applyFill="1" applyBorder="1"/>
    <xf numFmtId="165" fontId="21" fillId="4" borderId="1" xfId="77" applyNumberFormat="1" applyFont="1" applyFill="1" applyBorder="1"/>
    <xf numFmtId="167" fontId="29" fillId="4" borderId="1" xfId="77" applyNumberFormat="1" applyFont="1" applyFill="1" applyBorder="1"/>
    <xf numFmtId="0" fontId="59" fillId="6" borderId="89" xfId="88" applyFont="1" applyFill="1" applyBorder="1" applyAlignment="1">
      <alignment horizontal="center" vertical="center" wrapText="1"/>
    </xf>
    <xf numFmtId="165" fontId="59" fillId="6" borderId="89" xfId="77" applyNumberFormat="1" applyFont="1" applyFill="1" applyBorder="1" applyAlignment="1">
      <alignment horizontal="center" vertical="center" wrapText="1"/>
    </xf>
    <xf numFmtId="165" fontId="59" fillId="6" borderId="89" xfId="77" applyNumberFormat="1" applyFont="1" applyFill="1" applyBorder="1" applyAlignment="1">
      <alignment horizontal="center" vertical="center"/>
    </xf>
    <xf numFmtId="165" fontId="61" fillId="12" borderId="91" xfId="77" applyNumberFormat="1" applyFont="1" applyFill="1" applyBorder="1" applyAlignment="1">
      <alignment horizontal="center" vertical="center" wrapText="1"/>
    </xf>
    <xf numFmtId="167" fontId="53" fillId="4" borderId="1" xfId="77" applyNumberFormat="1" applyFont="1" applyFill="1" applyBorder="1"/>
    <xf numFmtId="167" fontId="60" fillId="6" borderId="89" xfId="77" applyNumberFormat="1" applyFont="1" applyFill="1" applyBorder="1" applyAlignment="1">
      <alignment vertical="center" wrapText="1"/>
    </xf>
    <xf numFmtId="165" fontId="61" fillId="6" borderId="91" xfId="77" applyNumberFormat="1" applyFont="1" applyFill="1" applyBorder="1" applyAlignment="1">
      <alignment horizontal="center" vertical="center" wrapText="1"/>
    </xf>
    <xf numFmtId="0" fontId="60" fillId="7" borderId="81" xfId="88" applyFont="1" applyFill="1" applyBorder="1" applyAlignment="1">
      <alignment horizontal="center" vertical="center" wrapText="1"/>
    </xf>
    <xf numFmtId="165" fontId="60" fillId="7" borderId="81" xfId="77" applyNumberFormat="1" applyFont="1" applyFill="1" applyBorder="1" applyAlignment="1">
      <alignment horizontal="center" vertical="center" wrapText="1"/>
    </xf>
    <xf numFmtId="165" fontId="66" fillId="7" borderId="81" xfId="77" applyNumberFormat="1" applyFont="1" applyFill="1" applyBorder="1" applyAlignment="1">
      <alignment horizontal="center" vertical="center" wrapText="1"/>
    </xf>
    <xf numFmtId="165" fontId="60" fillId="7" borderId="65" xfId="77" applyNumberFormat="1" applyFont="1" applyFill="1" applyBorder="1" applyAlignment="1">
      <alignment horizontal="center" vertical="center" wrapText="1"/>
    </xf>
    <xf numFmtId="167" fontId="60" fillId="7" borderId="96" xfId="77" applyNumberFormat="1" applyFont="1" applyFill="1" applyBorder="1" applyAlignment="1">
      <alignment vertical="center" wrapText="1"/>
    </xf>
    <xf numFmtId="165" fontId="60" fillId="7" borderId="97" xfId="77" applyNumberFormat="1" applyFont="1" applyFill="1" applyBorder="1" applyAlignment="1">
      <alignment horizontal="center" vertical="center" wrapText="1"/>
    </xf>
    <xf numFmtId="0" fontId="60" fillId="4" borderId="50" xfId="88" applyFont="1" applyBorder="1" applyAlignment="1">
      <alignment horizontal="center" vertical="center" wrapText="1"/>
    </xf>
    <xf numFmtId="165" fontId="60" fillId="4" borderId="50" xfId="77" applyNumberFormat="1" applyFont="1" applyFill="1" applyBorder="1" applyAlignment="1">
      <alignment horizontal="center" vertical="center" wrapText="1"/>
    </xf>
    <xf numFmtId="167" fontId="50" fillId="4" borderId="50" xfId="77" applyNumberFormat="1" applyFont="1" applyFill="1" applyBorder="1" applyAlignment="1">
      <alignment horizontal="right" vertical="center"/>
    </xf>
    <xf numFmtId="0" fontId="60" fillId="7" borderId="91" xfId="88" applyFont="1" applyFill="1" applyBorder="1" applyAlignment="1">
      <alignment horizontal="center" vertical="center" wrapText="1"/>
    </xf>
    <xf numFmtId="165" fontId="60" fillId="7" borderId="91" xfId="77" applyNumberFormat="1" applyFont="1" applyFill="1" applyBorder="1" applyAlignment="1">
      <alignment horizontal="center" vertical="center" wrapText="1"/>
    </xf>
    <xf numFmtId="165" fontId="66" fillId="7" borderId="91" xfId="77" applyNumberFormat="1" applyFont="1" applyFill="1" applyBorder="1" applyAlignment="1">
      <alignment horizontal="center" vertical="center" wrapText="1"/>
    </xf>
    <xf numFmtId="165" fontId="60" fillId="7" borderId="67" xfId="77" applyNumberFormat="1" applyFont="1" applyFill="1" applyBorder="1" applyAlignment="1">
      <alignment horizontal="center" vertical="center" wrapText="1"/>
    </xf>
    <xf numFmtId="167" fontId="50" fillId="7" borderId="87" xfId="77" applyNumberFormat="1" applyFont="1" applyFill="1" applyBorder="1" applyAlignment="1">
      <alignment horizontal="right" vertical="center"/>
    </xf>
    <xf numFmtId="43" fontId="21" fillId="4" borderId="1" xfId="77" applyNumberFormat="1" applyFont="1" applyFill="1" applyBorder="1"/>
    <xf numFmtId="167" fontId="13" fillId="4" borderId="1" xfId="77" applyNumberFormat="1" applyFill="1" applyBorder="1"/>
    <xf numFmtId="165" fontId="0" fillId="4" borderId="1" xfId="77" applyNumberFormat="1" applyFont="1" applyFill="1" applyBorder="1"/>
    <xf numFmtId="3" fontId="13" fillId="4" borderId="1" xfId="77" applyNumberFormat="1" applyFill="1" applyBorder="1"/>
    <xf numFmtId="167" fontId="0" fillId="4" borderId="1" xfId="77" applyNumberFormat="1" applyFont="1"/>
    <xf numFmtId="0" fontId="68" fillId="11" borderId="88" xfId="0" applyFont="1" applyFill="1" applyBorder="1" applyAlignment="1">
      <alignment horizontal="center" vertical="center" wrapText="1"/>
    </xf>
    <xf numFmtId="0" fontId="68" fillId="11" borderId="89" xfId="0" applyFont="1" applyFill="1" applyBorder="1" applyAlignment="1">
      <alignment horizontal="center" vertical="center" wrapText="1"/>
    </xf>
    <xf numFmtId="0" fontId="57" fillId="0" borderId="90" xfId="0" applyFont="1" applyBorder="1" applyAlignment="1">
      <alignment horizontal="right" vertical="center"/>
    </xf>
    <xf numFmtId="0" fontId="68" fillId="11" borderId="90" xfId="0" applyFont="1" applyFill="1" applyBorder="1" applyAlignment="1">
      <alignment horizontal="center" vertical="center" wrapText="1"/>
    </xf>
    <xf numFmtId="0" fontId="68" fillId="11" borderId="91" xfId="0" applyFont="1" applyFill="1" applyBorder="1" applyAlignment="1">
      <alignment horizontal="center" vertical="center" wrapText="1"/>
    </xf>
    <xf numFmtId="0" fontId="64" fillId="4" borderId="1" xfId="0" applyNumberFormat="1" applyFont="1" applyFill="1" applyBorder="1" applyAlignment="1" applyProtection="1">
      <alignment wrapText="1"/>
      <protection locked="0"/>
    </xf>
    <xf numFmtId="0" fontId="27" fillId="2" borderId="32" xfId="0" applyNumberFormat="1" applyFont="1" applyFill="1" applyBorder="1" applyAlignment="1" applyProtection="1">
      <alignment horizontal="center" vertical="center"/>
    </xf>
    <xf numFmtId="0" fontId="64" fillId="0" borderId="0" xfId="0" applyFont="1"/>
    <xf numFmtId="0" fontId="70" fillId="11" borderId="81" xfId="0" applyFont="1" applyFill="1" applyBorder="1" applyAlignment="1">
      <alignment horizontal="center" vertical="center" wrapText="1"/>
    </xf>
    <xf numFmtId="0" fontId="70" fillId="11" borderId="105" xfId="0" applyFont="1" applyFill="1" applyBorder="1" applyAlignment="1">
      <alignment horizontal="center" vertical="center" wrapText="1"/>
    </xf>
    <xf numFmtId="0" fontId="44" fillId="0" borderId="90" xfId="0" applyFont="1" applyBorder="1" applyAlignment="1">
      <alignment horizontal="center" vertical="center"/>
    </xf>
    <xf numFmtId="0" fontId="44" fillId="0" borderId="91" xfId="0" applyFont="1" applyBorder="1" applyAlignment="1">
      <alignment vertical="center"/>
    </xf>
    <xf numFmtId="165" fontId="69" fillId="0" borderId="91" xfId="78" applyNumberFormat="1" applyFont="1" applyBorder="1" applyAlignment="1">
      <alignment vertical="center"/>
    </xf>
    <xf numFmtId="165" fontId="63" fillId="0" borderId="91" xfId="78" applyNumberFormat="1" applyFont="1" applyBorder="1" applyAlignment="1">
      <alignment vertical="center"/>
    </xf>
    <xf numFmtId="0" fontId="68" fillId="11" borderId="91" xfId="0" applyFont="1" applyFill="1" applyBorder="1" applyAlignment="1">
      <alignment vertical="center" wrapText="1"/>
    </xf>
    <xf numFmtId="167" fontId="44" fillId="0" borderId="91" xfId="78" applyNumberFormat="1" applyFont="1" applyBorder="1" applyAlignment="1">
      <alignment horizontal="right" vertical="center"/>
    </xf>
    <xf numFmtId="0" fontId="70" fillId="11" borderId="110" xfId="0" applyFont="1" applyFill="1" applyBorder="1" applyAlignment="1">
      <alignment horizontal="center" vertical="center" wrapText="1"/>
    </xf>
    <xf numFmtId="0" fontId="70" fillId="11" borderId="111" xfId="0" applyFont="1" applyFill="1" applyBorder="1" applyAlignment="1">
      <alignment horizontal="center" vertical="center" wrapText="1"/>
    </xf>
    <xf numFmtId="3" fontId="70" fillId="11" borderId="111" xfId="0" applyNumberFormat="1" applyFont="1" applyFill="1" applyBorder="1" applyAlignment="1">
      <alignment horizontal="center" vertical="center" wrapText="1"/>
    </xf>
    <xf numFmtId="167" fontId="0" fillId="0" borderId="50" xfId="78" applyNumberFormat="1" applyFont="1" applyBorder="1"/>
    <xf numFmtId="167" fontId="44" fillId="0" borderId="67" xfId="78" applyNumberFormat="1" applyFont="1" applyBorder="1" applyAlignment="1">
      <alignment horizontal="right" vertical="center"/>
    </xf>
    <xf numFmtId="3" fontId="70" fillId="11" borderId="55" xfId="0" applyNumberFormat="1" applyFont="1" applyFill="1" applyBorder="1" applyAlignment="1">
      <alignment horizontal="center" vertical="center" wrapText="1"/>
    </xf>
    <xf numFmtId="0" fontId="55" fillId="11" borderId="100" xfId="0" applyFont="1" applyFill="1" applyBorder="1" applyAlignment="1">
      <alignment horizontal="center" vertical="center" wrapText="1"/>
    </xf>
    <xf numFmtId="0" fontId="55" fillId="11" borderId="103" xfId="0" applyFont="1" applyFill="1" applyBorder="1" applyAlignment="1">
      <alignment horizontal="center" vertical="center" wrapText="1"/>
    </xf>
    <xf numFmtId="0" fontId="55" fillId="11" borderId="104" xfId="0" applyFont="1" applyFill="1" applyBorder="1" applyAlignment="1">
      <alignment horizontal="center" vertical="center" wrapText="1"/>
    </xf>
    <xf numFmtId="0" fontId="56" fillId="0" borderId="90" xfId="0" applyFont="1" applyBorder="1" applyAlignment="1">
      <alignment vertical="center"/>
    </xf>
    <xf numFmtId="0" fontId="56" fillId="0" borderId="91" xfId="0" applyFont="1" applyBorder="1" applyAlignment="1">
      <alignment vertical="center"/>
    </xf>
    <xf numFmtId="3" fontId="56" fillId="0" borderId="91" xfId="0" applyNumberFormat="1" applyFont="1" applyBorder="1" applyAlignment="1">
      <alignment vertical="center"/>
    </xf>
    <xf numFmtId="0" fontId="55" fillId="11" borderId="106" xfId="0" applyFont="1" applyFill="1" applyBorder="1" applyAlignment="1">
      <alignment horizontal="center" vertical="center" wrapText="1"/>
    </xf>
    <xf numFmtId="0" fontId="55" fillId="11" borderId="107" xfId="0" applyFont="1" applyFill="1" applyBorder="1" applyAlignment="1">
      <alignment horizontal="center" vertical="center" wrapText="1"/>
    </xf>
    <xf numFmtId="3" fontId="55" fillId="11" borderId="107" xfId="0" applyNumberFormat="1" applyFont="1" applyFill="1" applyBorder="1" applyAlignment="1">
      <alignment horizontal="center" vertical="center" wrapText="1"/>
    </xf>
    <xf numFmtId="167" fontId="56" fillId="0" borderId="91" xfId="78" applyNumberFormat="1" applyFont="1" applyBorder="1" applyAlignment="1">
      <alignment vertical="center"/>
    </xf>
    <xf numFmtId="1" fontId="55" fillId="11" borderId="107" xfId="0" applyNumberFormat="1" applyFont="1" applyFill="1" applyBorder="1" applyAlignment="1">
      <alignment horizontal="center" vertical="center" wrapText="1"/>
    </xf>
    <xf numFmtId="0" fontId="25" fillId="0" borderId="50" xfId="0" applyFont="1" applyBorder="1" applyAlignment="1">
      <alignment horizontal="center"/>
    </xf>
    <xf numFmtId="165" fontId="72" fillId="0" borderId="50" xfId="78" applyNumberFormat="1" applyFont="1" applyBorder="1" applyAlignment="1">
      <alignment vertical="center"/>
    </xf>
    <xf numFmtId="0" fontId="5" fillId="4" borderId="8" xfId="0" applyNumberFormat="1" applyFont="1" applyFill="1" applyBorder="1" applyAlignment="1" applyProtection="1">
      <alignment horizontal="left" vertical="center"/>
    </xf>
    <xf numFmtId="0" fontId="3" fillId="2" borderId="32" xfId="0" applyNumberFormat="1" applyFont="1" applyFill="1" applyBorder="1" applyAlignment="1" applyProtection="1">
      <alignment horizontal="center" vertical="center"/>
    </xf>
    <xf numFmtId="0" fontId="2" fillId="3" borderId="7" xfId="0" applyNumberFormat="1" applyFont="1" applyFill="1" applyBorder="1" applyAlignment="1" applyProtection="1">
      <alignment horizontal="center" vertical="center"/>
    </xf>
    <xf numFmtId="165" fontId="71" fillId="0" borderId="50" xfId="78" applyNumberFormat="1" applyFont="1" applyBorder="1" applyAlignment="1">
      <alignment vertical="center"/>
    </xf>
    <xf numFmtId="165" fontId="25" fillId="0" borderId="50" xfId="0" applyNumberFormat="1" applyFont="1" applyBorder="1"/>
    <xf numFmtId="165" fontId="32" fillId="0" borderId="50" xfId="78" applyNumberFormat="1" applyFont="1" applyBorder="1"/>
    <xf numFmtId="165" fontId="32" fillId="0" borderId="50" xfId="0" applyNumberFormat="1" applyFont="1" applyBorder="1"/>
    <xf numFmtId="0" fontId="37" fillId="0" borderId="0" xfId="0" applyFont="1" applyAlignment="1">
      <alignment vertical="center" wrapText="1"/>
    </xf>
    <xf numFmtId="0" fontId="15" fillId="4" borderId="50" xfId="0" applyNumberFormat="1" applyFont="1" applyFill="1" applyBorder="1" applyAlignment="1" applyProtection="1">
      <alignment horizontal="left" vertical="center" wrapText="1"/>
    </xf>
    <xf numFmtId="165" fontId="73" fillId="0" borderId="50" xfId="78" applyNumberFormat="1" applyFont="1" applyBorder="1" applyAlignment="1">
      <alignment vertical="center"/>
    </xf>
    <xf numFmtId="165" fontId="67" fillId="0" borderId="50" xfId="78" applyNumberFormat="1" applyFont="1" applyBorder="1"/>
    <xf numFmtId="0" fontId="37" fillId="0" borderId="50" xfId="0" applyFont="1" applyBorder="1" applyAlignment="1">
      <alignment vertical="center" wrapText="1"/>
    </xf>
    <xf numFmtId="0" fontId="25" fillId="0" borderId="50" xfId="0" applyFont="1" applyBorder="1" applyAlignment="1">
      <alignment wrapText="1"/>
    </xf>
    <xf numFmtId="0" fontId="18" fillId="4" borderId="1" xfId="0" applyNumberFormat="1" applyFont="1" applyFill="1" applyBorder="1" applyAlignment="1" applyProtection="1">
      <alignment wrapText="1"/>
      <protection locked="0"/>
    </xf>
    <xf numFmtId="0" fontId="14" fillId="4" borderId="17" xfId="0" applyNumberFormat="1" applyFont="1" applyFill="1" applyBorder="1" applyAlignment="1" applyProtection="1">
      <alignment horizontal="center" vertical="center"/>
    </xf>
    <xf numFmtId="0" fontId="14" fillId="4" borderId="19" xfId="0" applyNumberFormat="1" applyFont="1" applyFill="1" applyBorder="1" applyAlignment="1" applyProtection="1">
      <alignment horizontal="center" vertical="center"/>
    </xf>
    <xf numFmtId="0" fontId="5" fillId="4" borderId="22" xfId="0" applyNumberFormat="1" applyFont="1" applyFill="1" applyBorder="1" applyAlignment="1" applyProtection="1">
      <alignment horizontal="center" vertical="center"/>
    </xf>
    <xf numFmtId="0" fontId="14" fillId="4" borderId="23" xfId="0" applyNumberFormat="1" applyFont="1" applyFill="1" applyBorder="1" applyAlignment="1" applyProtection="1">
      <alignment horizontal="center" vertical="center"/>
    </xf>
    <xf numFmtId="0" fontId="14" fillId="4" borderId="28" xfId="0" applyNumberFormat="1" applyFont="1" applyFill="1" applyBorder="1" applyAlignment="1" applyProtection="1">
      <alignment horizontal="center" vertical="center"/>
    </xf>
    <xf numFmtId="0" fontId="14" fillId="4" borderId="30" xfId="0" applyNumberFormat="1" applyFont="1" applyFill="1" applyBorder="1" applyAlignment="1" applyProtection="1">
      <alignment horizontal="center" vertical="center"/>
    </xf>
    <xf numFmtId="0" fontId="18" fillId="0" borderId="0" xfId="0" applyFont="1"/>
    <xf numFmtId="0" fontId="3" fillId="4" borderId="1" xfId="11" applyNumberFormat="1" applyFont="1" applyFill="1" applyBorder="1" applyAlignment="1" applyProtection="1">
      <alignment horizontal="left" vertical="top"/>
    </xf>
    <xf numFmtId="0" fontId="18" fillId="4" borderId="1" xfId="11" applyNumberFormat="1" applyFont="1" applyFill="1" applyBorder="1" applyAlignment="1" applyProtection="1">
      <alignment wrapText="1"/>
      <protection locked="0"/>
    </xf>
    <xf numFmtId="0" fontId="2" fillId="3" borderId="41" xfId="0" applyNumberFormat="1" applyFont="1" applyFill="1" applyBorder="1" applyAlignment="1" applyProtection="1">
      <alignment horizontal="left" vertical="center"/>
    </xf>
    <xf numFmtId="0" fontId="14" fillId="4" borderId="20" xfId="0" applyNumberFormat="1" applyFont="1" applyFill="1" applyBorder="1" applyAlignment="1" applyProtection="1">
      <alignment horizontal="center" vertical="center"/>
    </xf>
    <xf numFmtId="0" fontId="5" fillId="4" borderId="21" xfId="0" applyNumberFormat="1" applyFont="1" applyFill="1" applyBorder="1" applyAlignment="1" applyProtection="1">
      <alignment horizontal="center" vertical="center"/>
    </xf>
    <xf numFmtId="3" fontId="26" fillId="5" borderId="50" xfId="0" applyNumberFormat="1" applyFont="1" applyFill="1" applyBorder="1" applyAlignment="1"/>
    <xf numFmtId="165" fontId="22" fillId="5" borderId="50" xfId="0" applyNumberFormat="1" applyFont="1" applyFill="1" applyBorder="1" applyAlignment="1"/>
    <xf numFmtId="3" fontId="24" fillId="5" borderId="87" xfId="92" applyNumberFormat="1" applyFont="1" applyFill="1" applyBorder="1" applyAlignment="1"/>
    <xf numFmtId="3" fontId="3" fillId="2" borderId="6" xfId="0" applyNumberFormat="1" applyFont="1" applyFill="1" applyBorder="1" applyAlignment="1" applyProtection="1">
      <alignment horizontal="right" vertical="center"/>
    </xf>
    <xf numFmtId="165" fontId="24" fillId="5" borderId="50" xfId="93" applyNumberFormat="1" applyFont="1" applyFill="1" applyBorder="1" applyAlignment="1"/>
    <xf numFmtId="165" fontId="24" fillId="4" borderId="33" xfId="77" applyNumberFormat="1" applyFont="1" applyFill="1" applyBorder="1" applyAlignment="1" applyProtection="1">
      <alignment horizontal="right" vertical="center"/>
    </xf>
    <xf numFmtId="3" fontId="16" fillId="2" borderId="33" xfId="0" applyNumberFormat="1" applyFont="1" applyFill="1" applyBorder="1" applyAlignment="1" applyProtection="1">
      <alignment horizontal="right" vertical="center"/>
    </xf>
    <xf numFmtId="4" fontId="35" fillId="2" borderId="33" xfId="0" applyNumberFormat="1" applyFont="1" applyFill="1" applyBorder="1" applyAlignment="1" applyProtection="1">
      <alignment horizontal="right" vertical="center"/>
    </xf>
    <xf numFmtId="4" fontId="74" fillId="2" borderId="33" xfId="0" applyNumberFormat="1" applyFont="1" applyFill="1" applyBorder="1" applyAlignment="1" applyProtection="1">
      <alignment horizontal="right" vertical="center"/>
    </xf>
    <xf numFmtId="0" fontId="14" fillId="4" borderId="31" xfId="0" applyNumberFormat="1" applyFont="1" applyFill="1" applyBorder="1" applyAlignment="1" applyProtection="1">
      <alignment horizontal="center" vertical="center"/>
    </xf>
    <xf numFmtId="0" fontId="28" fillId="4" borderId="17" xfId="0" applyNumberFormat="1" applyFont="1" applyFill="1" applyBorder="1" applyAlignment="1" applyProtection="1">
      <alignment horizontal="center" vertical="center"/>
    </xf>
    <xf numFmtId="165" fontId="28" fillId="4" borderId="17" xfId="77" applyNumberFormat="1" applyFont="1" applyFill="1" applyBorder="1" applyAlignment="1" applyProtection="1">
      <alignment horizontal="center" vertical="center"/>
    </xf>
    <xf numFmtId="0" fontId="54" fillId="11" borderId="95" xfId="0" applyFont="1" applyFill="1" applyBorder="1" applyAlignment="1">
      <alignment vertical="center" wrapText="1"/>
    </xf>
    <xf numFmtId="0" fontId="68" fillId="11" borderId="92" xfId="0" applyFont="1" applyFill="1" applyBorder="1" applyAlignment="1">
      <alignment vertical="center" wrapText="1"/>
    </xf>
    <xf numFmtId="0" fontId="68" fillId="11" borderId="103" xfId="0" applyFont="1" applyFill="1" applyBorder="1" applyAlignment="1">
      <alignment horizontal="center" vertical="center" wrapText="1"/>
    </xf>
    <xf numFmtId="0" fontId="36" fillId="11" borderId="90" xfId="0" applyFont="1" applyFill="1" applyBorder="1" applyAlignment="1">
      <alignment vertical="center" wrapText="1"/>
    </xf>
    <xf numFmtId="0" fontId="68" fillId="11" borderId="107" xfId="0" applyFont="1" applyFill="1" applyBorder="1" applyAlignment="1">
      <alignment horizontal="center" vertical="center" wrapText="1"/>
    </xf>
    <xf numFmtId="3" fontId="68" fillId="11" borderId="107" xfId="0" applyNumberFormat="1" applyFont="1" applyFill="1" applyBorder="1" applyAlignment="1">
      <alignment horizontal="center" vertical="center" wrapText="1"/>
    </xf>
    <xf numFmtId="9" fontId="76" fillId="7" borderId="91" xfId="0" applyNumberFormat="1" applyFont="1" applyFill="1" applyBorder="1" applyAlignment="1">
      <alignment horizontal="center" vertical="center"/>
    </xf>
    <xf numFmtId="0" fontId="57" fillId="0" borderId="90" xfId="0" applyFont="1" applyBorder="1" applyAlignment="1">
      <alignment horizontal="center" vertical="center"/>
    </xf>
    <xf numFmtId="0" fontId="57" fillId="0" borderId="91" xfId="0" applyFont="1" applyBorder="1" applyAlignment="1">
      <alignment horizontal="center" vertical="center"/>
    </xf>
    <xf numFmtId="9" fontId="57" fillId="0" borderId="91" xfId="0" applyNumberFormat="1" applyFont="1" applyBorder="1" applyAlignment="1">
      <alignment horizontal="center" vertical="center"/>
    </xf>
    <xf numFmtId="0" fontId="49" fillId="0" borderId="0" xfId="0" applyFont="1"/>
    <xf numFmtId="165" fontId="55" fillId="11" borderId="107" xfId="78" applyNumberFormat="1" applyFont="1" applyFill="1" applyBorder="1" applyAlignment="1">
      <alignment horizontal="center" vertical="center" wrapText="1"/>
    </xf>
    <xf numFmtId="165" fontId="28" fillId="4" borderId="18" xfId="77" applyNumberFormat="1" applyFont="1" applyFill="1" applyBorder="1" applyAlignment="1" applyProtection="1">
      <alignment horizontal="center" vertical="center"/>
    </xf>
    <xf numFmtId="165" fontId="34" fillId="2" borderId="33" xfId="77" applyNumberFormat="1" applyFont="1" applyFill="1" applyBorder="1" applyAlignment="1" applyProtection="1">
      <alignment horizontal="right" vertical="center"/>
    </xf>
    <xf numFmtId="0" fontId="34" fillId="2" borderId="32" xfId="0" applyNumberFormat="1" applyFont="1" applyFill="1" applyBorder="1" applyAlignment="1" applyProtection="1">
      <alignment horizontal="center" vertical="center"/>
    </xf>
    <xf numFmtId="0" fontId="34" fillId="2" borderId="33" xfId="0" applyNumberFormat="1" applyFont="1" applyFill="1" applyBorder="1" applyAlignment="1" applyProtection="1">
      <alignment horizontal="left" vertical="center"/>
    </xf>
    <xf numFmtId="165" fontId="34" fillId="2" borderId="25" xfId="77" applyNumberFormat="1" applyFont="1" applyFill="1" applyBorder="1" applyAlignment="1" applyProtection="1">
      <alignment horizontal="right" vertical="center"/>
    </xf>
    <xf numFmtId="165" fontId="28" fillId="7" borderId="33" xfId="77" applyNumberFormat="1" applyFont="1" applyFill="1" applyBorder="1" applyAlignment="1" applyProtection="1">
      <alignment horizontal="right" vertical="center"/>
    </xf>
    <xf numFmtId="165" fontId="28" fillId="2" borderId="33" xfId="77" applyNumberFormat="1" applyFont="1" applyFill="1" applyBorder="1" applyAlignment="1" applyProtection="1">
      <alignment horizontal="right" vertical="center"/>
    </xf>
    <xf numFmtId="0" fontId="34" fillId="2" borderId="33" xfId="0" applyNumberFormat="1" applyFont="1" applyFill="1" applyBorder="1" applyAlignment="1" applyProtection="1">
      <alignment horizontal="left" vertical="center" wrapText="1"/>
    </xf>
    <xf numFmtId="165" fontId="34" fillId="2" borderId="6" xfId="77" applyNumberFormat="1" applyFont="1" applyFill="1" applyBorder="1" applyAlignment="1" applyProtection="1">
      <alignment horizontal="right" vertical="center"/>
    </xf>
    <xf numFmtId="165" fontId="29" fillId="4" borderId="1" xfId="77" applyNumberFormat="1" applyFont="1" applyAlignment="1">
      <alignment wrapText="1"/>
    </xf>
    <xf numFmtId="0" fontId="27" fillId="3" borderId="9" xfId="0" applyNumberFormat="1" applyFont="1" applyFill="1" applyBorder="1" applyAlignment="1" applyProtection="1">
      <alignment horizontal="center" vertical="center" wrapText="1"/>
    </xf>
    <xf numFmtId="0" fontId="27" fillId="3" borderId="11" xfId="0" applyNumberFormat="1" applyFont="1" applyFill="1" applyBorder="1" applyAlignment="1" applyProtection="1">
      <alignment horizontal="center" vertical="center" wrapText="1"/>
    </xf>
    <xf numFmtId="0" fontId="27" fillId="3" borderId="14" xfId="0" applyNumberFormat="1" applyFont="1" applyFill="1" applyBorder="1" applyAlignment="1" applyProtection="1">
      <alignment horizontal="center" vertical="center"/>
    </xf>
    <xf numFmtId="0" fontId="27" fillId="3" borderId="15" xfId="0" applyNumberFormat="1" applyFont="1" applyFill="1" applyBorder="1" applyAlignment="1" applyProtection="1">
      <alignment horizontal="center" vertical="center"/>
    </xf>
    <xf numFmtId="0" fontId="28" fillId="4" borderId="18" xfId="0" applyNumberFormat="1" applyFont="1" applyFill="1" applyBorder="1" applyAlignment="1" applyProtection="1">
      <alignment horizontal="center" vertical="center"/>
    </xf>
    <xf numFmtId="0" fontId="28" fillId="4" borderId="19" xfId="0" applyNumberFormat="1" applyFont="1" applyFill="1" applyBorder="1" applyAlignment="1" applyProtection="1">
      <alignment horizontal="center" vertical="center"/>
    </xf>
    <xf numFmtId="0" fontId="75" fillId="4" borderId="1" xfId="0" applyNumberFormat="1" applyFont="1" applyFill="1" applyBorder="1" applyAlignment="1" applyProtection="1">
      <alignment wrapText="1"/>
      <protection locked="0"/>
    </xf>
    <xf numFmtId="0" fontId="27" fillId="3" borderId="10" xfId="0" applyNumberFormat="1" applyFont="1" applyFill="1" applyBorder="1" applyAlignment="1" applyProtection="1">
      <alignment horizontal="center" vertical="center" wrapText="1"/>
    </xf>
    <xf numFmtId="0" fontId="27" fillId="3" borderId="12" xfId="0" applyNumberFormat="1" applyFont="1" applyFill="1" applyBorder="1" applyAlignment="1" applyProtection="1">
      <alignment horizontal="center" vertical="center" wrapText="1"/>
    </xf>
    <xf numFmtId="0" fontId="27" fillId="3" borderId="13" xfId="0" applyNumberFormat="1" applyFont="1" applyFill="1" applyBorder="1" applyAlignment="1" applyProtection="1">
      <alignment horizontal="center" vertical="center" wrapText="1"/>
    </xf>
    <xf numFmtId="0" fontId="28" fillId="4" borderId="20" xfId="0" applyNumberFormat="1" applyFont="1" applyFill="1" applyBorder="1" applyAlignment="1" applyProtection="1">
      <alignment horizontal="center" vertical="center"/>
    </xf>
    <xf numFmtId="0" fontId="40" fillId="4" borderId="22" xfId="0" applyNumberFormat="1" applyFont="1" applyFill="1" applyBorder="1" applyAlignment="1" applyProtection="1">
      <alignment horizontal="center" vertical="center"/>
    </xf>
    <xf numFmtId="0" fontId="28" fillId="4" borderId="23" xfId="0" applyNumberFormat="1" applyFont="1" applyFill="1" applyBorder="1" applyAlignment="1" applyProtection="1">
      <alignment horizontal="center" vertical="center"/>
    </xf>
    <xf numFmtId="0" fontId="28" fillId="4" borderId="28" xfId="0" applyNumberFormat="1" applyFont="1" applyFill="1" applyBorder="1" applyAlignment="1" applyProtection="1">
      <alignment horizontal="center" vertical="center"/>
    </xf>
    <xf numFmtId="3" fontId="26" fillId="2" borderId="33" xfId="0" applyNumberFormat="1" applyFont="1" applyFill="1" applyBorder="1" applyAlignment="1" applyProtection="1">
      <alignment horizontal="right" vertical="center"/>
    </xf>
    <xf numFmtId="0" fontId="75" fillId="0" borderId="0" xfId="0" applyFont="1"/>
    <xf numFmtId="0" fontId="77" fillId="4" borderId="1" xfId="0" applyNumberFormat="1" applyFont="1" applyFill="1" applyBorder="1" applyAlignment="1" applyProtection="1">
      <alignment horizontal="left" vertical="top"/>
    </xf>
    <xf numFmtId="0" fontId="38" fillId="4" borderId="33" xfId="0" applyNumberFormat="1" applyFont="1" applyFill="1" applyBorder="1" applyAlignment="1" applyProtection="1">
      <alignment horizontal="center" vertical="center"/>
    </xf>
    <xf numFmtId="0" fontId="38" fillId="4" borderId="33" xfId="0" applyNumberFormat="1" applyFont="1" applyFill="1" applyBorder="1" applyAlignment="1" applyProtection="1">
      <alignment horizontal="left" vertical="center"/>
    </xf>
    <xf numFmtId="3" fontId="38" fillId="4" borderId="33" xfId="0" applyNumberFormat="1" applyFont="1" applyFill="1" applyBorder="1" applyAlignment="1" applyProtection="1">
      <alignment horizontal="right" vertical="center"/>
    </xf>
    <xf numFmtId="3" fontId="38" fillId="4" borderId="6" xfId="0" applyNumberFormat="1" applyFont="1" applyFill="1" applyBorder="1" applyAlignment="1" applyProtection="1">
      <alignment horizontal="right" vertical="center"/>
    </xf>
    <xf numFmtId="0" fontId="38" fillId="7" borderId="33" xfId="0" applyNumberFormat="1" applyFont="1" applyFill="1" applyBorder="1" applyAlignment="1" applyProtection="1">
      <alignment horizontal="center" vertical="center"/>
    </xf>
    <xf numFmtId="0" fontId="38" fillId="7" borderId="33" xfId="0" applyNumberFormat="1" applyFont="1" applyFill="1" applyBorder="1" applyAlignment="1" applyProtection="1">
      <alignment horizontal="left" vertical="center"/>
    </xf>
    <xf numFmtId="3" fontId="38" fillId="7" borderId="33" xfId="0" applyNumberFormat="1" applyFont="1" applyFill="1" applyBorder="1" applyAlignment="1" applyProtection="1">
      <alignment horizontal="right" vertical="center"/>
    </xf>
    <xf numFmtId="0" fontId="41" fillId="4" borderId="1" xfId="0" applyNumberFormat="1" applyFont="1" applyFill="1" applyBorder="1" applyAlignment="1" applyProtection="1">
      <alignment wrapText="1"/>
      <protection locked="0"/>
    </xf>
    <xf numFmtId="3" fontId="38" fillId="4" borderId="49" xfId="0" applyNumberFormat="1" applyFont="1" applyFill="1" applyBorder="1" applyAlignment="1" applyProtection="1">
      <alignment horizontal="right" vertical="center"/>
    </xf>
    <xf numFmtId="0" fontId="41" fillId="0" borderId="0" xfId="0" applyFont="1"/>
    <xf numFmtId="0" fontId="38" fillId="4" borderId="33" xfId="0" applyFont="1" applyFill="1" applyBorder="1" applyAlignment="1" applyProtection="1">
      <alignment horizontal="left" vertical="center"/>
    </xf>
    <xf numFmtId="3" fontId="38" fillId="0" borderId="33" xfId="0" applyNumberFormat="1" applyFont="1" applyFill="1" applyBorder="1" applyAlignment="1" applyProtection="1">
      <alignment horizontal="right" vertical="center"/>
    </xf>
    <xf numFmtId="0" fontId="26" fillId="2" borderId="32" xfId="0" applyNumberFormat="1" applyFont="1" applyFill="1" applyBorder="1" applyAlignment="1" applyProtection="1">
      <alignment horizontal="center" vertical="center"/>
    </xf>
    <xf numFmtId="0" fontId="34" fillId="4" borderId="21" xfId="0" applyNumberFormat="1" applyFont="1" applyFill="1" applyBorder="1" applyAlignment="1" applyProtection="1">
      <alignment horizontal="center" vertical="center"/>
    </xf>
    <xf numFmtId="0" fontId="29" fillId="4" borderId="0" xfId="0" applyFont="1" applyFill="1" applyAlignment="1" applyProtection="1">
      <alignment wrapText="1"/>
      <protection locked="0"/>
    </xf>
    <xf numFmtId="0" fontId="34" fillId="4" borderId="50" xfId="0" applyFont="1" applyFill="1" applyBorder="1" applyAlignment="1">
      <alignment horizontal="center" vertical="center"/>
    </xf>
    <xf numFmtId="0" fontId="40" fillId="4" borderId="50" xfId="0" applyFont="1" applyFill="1" applyBorder="1" applyAlignment="1">
      <alignment horizontal="center" vertical="center"/>
    </xf>
    <xf numFmtId="0" fontId="29" fillId="4" borderId="1" xfId="0" applyFont="1" applyFill="1" applyBorder="1"/>
    <xf numFmtId="0" fontId="26" fillId="4" borderId="50" xfId="0" applyFont="1" applyFill="1" applyBorder="1" applyAlignment="1">
      <alignment horizontal="center" vertical="center"/>
    </xf>
    <xf numFmtId="0" fontId="26" fillId="4" borderId="50" xfId="0" applyFont="1" applyFill="1" applyBorder="1" applyAlignment="1">
      <alignment horizontal="left" vertical="center"/>
    </xf>
    <xf numFmtId="3" fontId="26" fillId="4" borderId="50" xfId="0" applyNumberFormat="1" applyFont="1" applyFill="1" applyBorder="1" applyAlignment="1">
      <alignment horizontal="right" vertical="center"/>
    </xf>
    <xf numFmtId="166" fontId="26" fillId="4" borderId="50" xfId="0" applyNumberFormat="1" applyFont="1" applyFill="1" applyBorder="1" applyAlignment="1">
      <alignment horizontal="right" vertical="center"/>
    </xf>
    <xf numFmtId="4" fontId="26" fillId="4" borderId="50" xfId="0" applyNumberFormat="1" applyFont="1" applyFill="1" applyBorder="1" applyAlignment="1">
      <alignment horizontal="right" vertical="center"/>
    </xf>
    <xf numFmtId="4" fontId="29" fillId="4" borderId="1" xfId="0" applyNumberFormat="1" applyFont="1" applyFill="1" applyBorder="1"/>
    <xf numFmtId="3" fontId="29" fillId="4" borderId="0" xfId="0" applyNumberFormat="1" applyFont="1" applyFill="1"/>
    <xf numFmtId="0" fontId="27" fillId="3" borderId="44" xfId="0" applyNumberFormat="1" applyFont="1" applyFill="1" applyBorder="1" applyAlignment="1" applyProtection="1">
      <alignment horizontal="right" vertical="center"/>
    </xf>
    <xf numFmtId="164" fontId="27" fillId="3" borderId="45" xfId="0" applyNumberFormat="1" applyFont="1" applyFill="1" applyBorder="1" applyAlignment="1" applyProtection="1">
      <alignment horizontal="left" vertical="center"/>
    </xf>
    <xf numFmtId="165" fontId="26" fillId="2" borderId="25" xfId="78" applyNumberFormat="1" applyFont="1" applyFill="1" applyBorder="1" applyAlignment="1" applyProtection="1">
      <alignment horizontal="right" vertical="center"/>
    </xf>
    <xf numFmtId="0" fontId="28" fillId="4" borderId="29" xfId="0" applyNumberFormat="1" applyFont="1" applyFill="1" applyBorder="1" applyAlignment="1" applyProtection="1">
      <alignment horizontal="center" vertical="center"/>
    </xf>
    <xf numFmtId="0" fontId="28" fillId="4" borderId="30" xfId="0" applyNumberFormat="1" applyFont="1" applyFill="1" applyBorder="1" applyAlignment="1" applyProtection="1">
      <alignment horizontal="center" vertical="center"/>
    </xf>
    <xf numFmtId="0" fontId="77" fillId="4" borderId="1" xfId="10" applyNumberFormat="1" applyFont="1" applyFill="1" applyBorder="1" applyAlignment="1" applyProtection="1">
      <alignment horizontal="left" vertical="top"/>
    </xf>
    <xf numFmtId="0" fontId="49" fillId="4" borderId="1" xfId="10" applyNumberFormat="1" applyFont="1" applyFill="1" applyBorder="1" applyAlignment="1" applyProtection="1">
      <alignment wrapText="1"/>
      <protection locked="0"/>
    </xf>
    <xf numFmtId="165" fontId="49" fillId="4" borderId="1" xfId="77" applyNumberFormat="1" applyFont="1" applyFill="1" applyBorder="1" applyAlignment="1" applyProtection="1">
      <alignment wrapText="1"/>
      <protection locked="0"/>
    </xf>
    <xf numFmtId="0" fontId="49" fillId="4" borderId="1" xfId="0" applyNumberFormat="1" applyFont="1" applyFill="1" applyBorder="1" applyAlignment="1" applyProtection="1">
      <alignment wrapText="1"/>
      <protection locked="0"/>
    </xf>
    <xf numFmtId="0" fontId="28" fillId="3" borderId="41" xfId="0" applyNumberFormat="1" applyFont="1" applyFill="1" applyBorder="1" applyAlignment="1" applyProtection="1">
      <alignment horizontal="left" vertical="center"/>
    </xf>
    <xf numFmtId="165" fontId="28" fillId="3" borderId="11" xfId="77" applyNumberFormat="1" applyFont="1" applyFill="1" applyBorder="1" applyAlignment="1" applyProtection="1">
      <alignment horizontal="center" vertical="center" wrapText="1"/>
    </xf>
    <xf numFmtId="165" fontId="28" fillId="3" borderId="12" xfId="77" applyNumberFormat="1" applyFont="1" applyFill="1" applyBorder="1" applyAlignment="1" applyProtection="1">
      <alignment horizontal="center" vertical="center" wrapText="1"/>
    </xf>
    <xf numFmtId="165" fontId="28" fillId="3" borderId="13" xfId="77" applyNumberFormat="1" applyFont="1" applyFill="1" applyBorder="1" applyAlignment="1" applyProtection="1">
      <alignment horizontal="center" vertical="center" wrapText="1"/>
    </xf>
    <xf numFmtId="165" fontId="28" fillId="3" borderId="14" xfId="77" applyNumberFormat="1" applyFont="1" applyFill="1" applyBorder="1" applyAlignment="1" applyProtection="1">
      <alignment horizontal="center" vertical="center"/>
    </xf>
    <xf numFmtId="165" fontId="28" fillId="3" borderId="15" xfId="77" applyNumberFormat="1" applyFont="1" applyFill="1" applyBorder="1" applyAlignment="1" applyProtection="1">
      <alignment horizontal="center" vertical="center"/>
    </xf>
    <xf numFmtId="165" fontId="28" fillId="4" borderId="19" xfId="77" applyNumberFormat="1" applyFont="1" applyFill="1" applyBorder="1" applyAlignment="1" applyProtection="1">
      <alignment horizontal="center" vertical="center"/>
    </xf>
    <xf numFmtId="165" fontId="28" fillId="4" borderId="20" xfId="77" applyNumberFormat="1" applyFont="1" applyFill="1" applyBorder="1" applyAlignment="1" applyProtection="1">
      <alignment horizontal="center" vertical="center"/>
    </xf>
    <xf numFmtId="0" fontId="28" fillId="4" borderId="21" xfId="0" applyNumberFormat="1" applyFont="1" applyFill="1" applyBorder="1" applyAlignment="1" applyProtection="1">
      <alignment horizontal="center" vertical="center"/>
    </xf>
    <xf numFmtId="0" fontId="34" fillId="4" borderId="22" xfId="0" applyNumberFormat="1" applyFont="1" applyFill="1" applyBorder="1" applyAlignment="1" applyProtection="1">
      <alignment horizontal="center" vertical="center"/>
    </xf>
    <xf numFmtId="165" fontId="28" fillId="4" borderId="23" xfId="77" applyNumberFormat="1" applyFont="1" applyFill="1" applyBorder="1" applyAlignment="1" applyProtection="1">
      <alignment horizontal="center" vertical="center"/>
    </xf>
    <xf numFmtId="165" fontId="34" fillId="2" borderId="26" xfId="77" applyNumberFormat="1" applyFont="1" applyFill="1" applyBorder="1" applyAlignment="1" applyProtection="1">
      <alignment horizontal="right" vertical="center"/>
    </xf>
    <xf numFmtId="0" fontId="28" fillId="7" borderId="32" xfId="0" applyNumberFormat="1" applyFont="1" applyFill="1" applyBorder="1" applyAlignment="1" applyProtection="1">
      <alignment horizontal="center" vertical="center"/>
    </xf>
    <xf numFmtId="0" fontId="28" fillId="7" borderId="33" xfId="0" applyNumberFormat="1" applyFont="1" applyFill="1" applyBorder="1" applyAlignment="1" applyProtection="1">
      <alignment horizontal="left" vertical="center"/>
    </xf>
    <xf numFmtId="165" fontId="28" fillId="7" borderId="25" xfId="77" applyNumberFormat="1" applyFont="1" applyFill="1" applyBorder="1" applyAlignment="1" applyProtection="1">
      <alignment horizontal="right" vertical="center"/>
    </xf>
    <xf numFmtId="165" fontId="28" fillId="7" borderId="6" xfId="77" applyNumberFormat="1" applyFont="1" applyFill="1" applyBorder="1" applyAlignment="1" applyProtection="1">
      <alignment horizontal="right" vertical="center"/>
    </xf>
    <xf numFmtId="0" fontId="28" fillId="2" borderId="32" xfId="0" applyNumberFormat="1" applyFont="1" applyFill="1" applyBorder="1" applyAlignment="1" applyProtection="1">
      <alignment horizontal="center" vertical="center"/>
    </xf>
    <xf numFmtId="0" fontId="28" fillId="2" borderId="33" xfId="0" applyNumberFormat="1" applyFont="1" applyFill="1" applyBorder="1" applyAlignment="1" applyProtection="1">
      <alignment horizontal="left" vertical="center"/>
    </xf>
    <xf numFmtId="165" fontId="28" fillId="2" borderId="6" xfId="77" applyNumberFormat="1" applyFont="1" applyFill="1" applyBorder="1" applyAlignment="1" applyProtection="1">
      <alignment horizontal="right" vertical="center"/>
    </xf>
    <xf numFmtId="0" fontId="64" fillId="4" borderId="1" xfId="10" applyNumberFormat="1" applyFont="1" applyFill="1" applyBorder="1" applyAlignment="1" applyProtection="1">
      <alignment wrapText="1"/>
      <protection locked="0"/>
    </xf>
    <xf numFmtId="0" fontId="26" fillId="2" borderId="33" xfId="0" applyNumberFormat="1" applyFont="1" applyFill="1" applyBorder="1" applyAlignment="1" applyProtection="1">
      <alignment horizontal="left" vertical="center"/>
    </xf>
    <xf numFmtId="9" fontId="49" fillId="0" borderId="0" xfId="91" applyFont="1"/>
    <xf numFmtId="0" fontId="78" fillId="3" borderId="41" xfId="0" applyNumberFormat="1" applyFont="1" applyFill="1" applyBorder="1" applyAlignment="1" applyProtection="1">
      <alignment horizontal="left" vertical="center"/>
    </xf>
    <xf numFmtId="165" fontId="26" fillId="2" borderId="26" xfId="78" applyNumberFormat="1" applyFont="1" applyFill="1" applyBorder="1" applyAlignment="1" applyProtection="1">
      <alignment horizontal="right" vertical="center"/>
    </xf>
    <xf numFmtId="0" fontId="79" fillId="4" borderId="1" xfId="0" applyNumberFormat="1" applyFont="1" applyFill="1" applyBorder="1" applyAlignment="1" applyProtection="1">
      <alignment wrapText="1"/>
      <protection locked="0"/>
    </xf>
    <xf numFmtId="0" fontId="79" fillId="0" borderId="0" xfId="0" applyFont="1"/>
    <xf numFmtId="0" fontId="49" fillId="4" borderId="1" xfId="0" applyNumberFormat="1" applyFont="1" applyFill="1" applyBorder="1" applyAlignment="1" applyProtection="1">
      <alignment horizontal="left" vertical="top"/>
    </xf>
    <xf numFmtId="0" fontId="79" fillId="4" borderId="17" xfId="0" applyNumberFormat="1" applyFont="1" applyFill="1" applyBorder="1" applyAlignment="1" applyProtection="1">
      <alignment horizontal="center" vertical="center"/>
    </xf>
    <xf numFmtId="0" fontId="79" fillId="4" borderId="18" xfId="0" applyNumberFormat="1" applyFont="1" applyFill="1" applyBorder="1" applyAlignment="1" applyProtection="1">
      <alignment horizontal="center" vertical="center"/>
    </xf>
    <xf numFmtId="0" fontId="79" fillId="4" borderId="19" xfId="0" applyNumberFormat="1" applyFont="1" applyFill="1" applyBorder="1" applyAlignment="1" applyProtection="1">
      <alignment horizontal="center" vertical="center"/>
    </xf>
    <xf numFmtId="0" fontId="79" fillId="4" borderId="20" xfId="0" applyNumberFormat="1" applyFont="1" applyFill="1" applyBorder="1" applyAlignment="1" applyProtection="1">
      <alignment horizontal="center" vertical="center"/>
    </xf>
    <xf numFmtId="0" fontId="49" fillId="4" borderId="22" xfId="0" applyNumberFormat="1" applyFont="1" applyFill="1" applyBorder="1" applyAlignment="1" applyProtection="1">
      <alignment horizontal="center" vertical="center"/>
    </xf>
    <xf numFmtId="0" fontId="79" fillId="4" borderId="23" xfId="0" applyNumberFormat="1" applyFont="1" applyFill="1" applyBorder="1" applyAlignment="1" applyProtection="1">
      <alignment horizontal="center" vertical="center"/>
    </xf>
    <xf numFmtId="0" fontId="49" fillId="4" borderId="33" xfId="74" applyNumberFormat="1" applyFont="1" applyFill="1" applyBorder="1" applyAlignment="1" applyProtection="1">
      <alignment horizontal="left" vertical="center"/>
    </xf>
    <xf numFmtId="3" fontId="49" fillId="2" borderId="25" xfId="0" applyNumberFormat="1" applyFont="1" applyFill="1" applyBorder="1" applyAlignment="1" applyProtection="1">
      <alignment horizontal="right" vertical="center"/>
    </xf>
    <xf numFmtId="3" fontId="49" fillId="2" borderId="26" xfId="0" applyNumberFormat="1" applyFont="1" applyFill="1" applyBorder="1" applyAlignment="1" applyProtection="1">
      <alignment horizontal="right" vertical="center"/>
    </xf>
    <xf numFmtId="0" fontId="79" fillId="2" borderId="25" xfId="0" applyNumberFormat="1" applyFont="1" applyFill="1" applyBorder="1" applyAlignment="1" applyProtection="1">
      <alignment horizontal="left" vertical="center" wrapText="1"/>
    </xf>
    <xf numFmtId="3" fontId="79" fillId="2" borderId="25" xfId="0" applyNumberFormat="1" applyFont="1" applyFill="1" applyBorder="1" applyAlignment="1" applyProtection="1">
      <alignment horizontal="right" vertical="center"/>
    </xf>
    <xf numFmtId="3" fontId="79" fillId="2" borderId="26" xfId="0" applyNumberFormat="1" applyFont="1" applyFill="1" applyBorder="1" applyAlignment="1" applyProtection="1">
      <alignment horizontal="right" vertical="center"/>
    </xf>
    <xf numFmtId="0" fontId="79" fillId="4" borderId="28" xfId="0" applyNumberFormat="1" applyFont="1" applyFill="1" applyBorder="1" applyAlignment="1" applyProtection="1">
      <alignment horizontal="center" vertical="center"/>
    </xf>
    <xf numFmtId="0" fontId="79" fillId="4" borderId="29" xfId="0" applyNumberFormat="1" applyFont="1" applyFill="1" applyBorder="1" applyAlignment="1" applyProtection="1">
      <alignment horizontal="center" vertical="center"/>
    </xf>
    <xf numFmtId="3" fontId="79" fillId="4" borderId="28" xfId="0" applyNumberFormat="1" applyFont="1" applyFill="1" applyBorder="1" applyAlignment="1" applyProtection="1">
      <alignment horizontal="center" vertical="center"/>
    </xf>
    <xf numFmtId="3" fontId="79" fillId="4" borderId="30" xfId="0" applyNumberFormat="1" applyFont="1" applyFill="1" applyBorder="1" applyAlignment="1" applyProtection="1">
      <alignment horizontal="center" vertical="center"/>
    </xf>
    <xf numFmtId="0" fontId="79" fillId="4" borderId="31" xfId="0" applyNumberFormat="1" applyFont="1" applyFill="1" applyBorder="1" applyAlignment="1" applyProtection="1">
      <alignment horizontal="center" vertical="center"/>
    </xf>
    <xf numFmtId="3" fontId="79" fillId="4" borderId="17" xfId="0" applyNumberFormat="1" applyFont="1" applyFill="1" applyBorder="1" applyAlignment="1" applyProtection="1">
      <alignment horizontal="center" vertical="center"/>
    </xf>
    <xf numFmtId="3" fontId="79" fillId="4" borderId="23" xfId="0" applyNumberFormat="1" applyFont="1" applyFill="1" applyBorder="1" applyAlignment="1" applyProtection="1">
      <alignment horizontal="center" vertical="center"/>
    </xf>
    <xf numFmtId="0" fontId="49" fillId="2" borderId="33" xfId="0" applyNumberFormat="1" applyFont="1" applyFill="1" applyBorder="1" applyAlignment="1" applyProtection="1">
      <alignment horizontal="left" vertical="center" wrapText="1"/>
    </xf>
    <xf numFmtId="4" fontId="49" fillId="2" borderId="33" xfId="0" applyNumberFormat="1" applyFont="1" applyFill="1" applyBorder="1" applyAlignment="1" applyProtection="1">
      <alignment horizontal="right" vertical="center"/>
    </xf>
    <xf numFmtId="3" fontId="49" fillId="2" borderId="33" xfId="0" applyNumberFormat="1" applyFont="1" applyFill="1" applyBorder="1" applyAlignment="1" applyProtection="1">
      <alignment horizontal="right" vertical="center"/>
    </xf>
    <xf numFmtId="0" fontId="79" fillId="2" borderId="33" xfId="0" applyNumberFormat="1" applyFont="1" applyFill="1" applyBorder="1" applyAlignment="1" applyProtection="1">
      <alignment horizontal="left" vertical="center" wrapText="1"/>
    </xf>
    <xf numFmtId="4" fontId="79" fillId="2" borderId="33" xfId="0" applyNumberFormat="1" applyFont="1" applyFill="1" applyBorder="1" applyAlignment="1" applyProtection="1">
      <alignment horizontal="right" vertical="center"/>
    </xf>
    <xf numFmtId="3" fontId="79" fillId="2" borderId="33" xfId="0" applyNumberFormat="1" applyFont="1" applyFill="1" applyBorder="1" applyAlignment="1" applyProtection="1">
      <alignment horizontal="right" vertical="center"/>
    </xf>
    <xf numFmtId="4" fontId="79" fillId="5" borderId="33" xfId="0" applyNumberFormat="1" applyFont="1" applyFill="1" applyBorder="1" applyAlignment="1" applyProtection="1">
      <alignment horizontal="right" vertical="center"/>
    </xf>
    <xf numFmtId="3" fontId="79" fillId="5" borderId="33" xfId="0" applyNumberFormat="1" applyFont="1" applyFill="1" applyBorder="1" applyAlignment="1" applyProtection="1">
      <alignment horizontal="right" vertical="center"/>
    </xf>
    <xf numFmtId="0" fontId="79" fillId="2" borderId="136" xfId="0" applyNumberFormat="1" applyFont="1" applyFill="1" applyBorder="1" applyAlignment="1" applyProtection="1">
      <alignment horizontal="center" vertical="center"/>
    </xf>
    <xf numFmtId="3" fontId="79" fillId="5" borderId="26" xfId="0" applyNumberFormat="1" applyFont="1" applyFill="1" applyBorder="1" applyAlignment="1" applyProtection="1">
      <alignment horizontal="right" vertical="center"/>
    </xf>
    <xf numFmtId="0" fontId="75" fillId="4" borderId="1" xfId="0" applyNumberFormat="1" applyFont="1" applyFill="1" applyBorder="1" applyAlignment="1" applyProtection="1">
      <alignment horizontal="left" vertical="top"/>
    </xf>
    <xf numFmtId="0" fontId="124" fillId="3" borderId="68" xfId="0" applyNumberFormat="1" applyFont="1" applyFill="1" applyBorder="1" applyAlignment="1" applyProtection="1">
      <alignment horizontal="left" vertical="center"/>
    </xf>
    <xf numFmtId="0" fontId="124" fillId="3" borderId="44" xfId="0" applyNumberFormat="1" applyFont="1" applyFill="1" applyBorder="1" applyAlignment="1" applyProtection="1">
      <alignment horizontal="right" vertical="center"/>
    </xf>
    <xf numFmtId="164" fontId="124" fillId="3" borderId="45" xfId="0" applyNumberFormat="1" applyFont="1" applyFill="1" applyBorder="1" applyAlignment="1" applyProtection="1">
      <alignment horizontal="left" vertical="center"/>
    </xf>
    <xf numFmtId="0" fontId="124" fillId="3" borderId="9" xfId="0" applyNumberFormat="1" applyFont="1" applyFill="1" applyBorder="1" applyAlignment="1" applyProtection="1">
      <alignment horizontal="center" vertical="center" wrapText="1"/>
    </xf>
    <xf numFmtId="0" fontId="124" fillId="3" borderId="11" xfId="0" applyNumberFormat="1" applyFont="1" applyFill="1" applyBorder="1" applyAlignment="1" applyProtection="1">
      <alignment horizontal="center" vertical="center" wrapText="1"/>
    </xf>
    <xf numFmtId="0" fontId="124" fillId="3" borderId="12" xfId="0" applyNumberFormat="1" applyFont="1" applyFill="1" applyBorder="1" applyAlignment="1" applyProtection="1">
      <alignment horizontal="center" vertical="center" wrapText="1"/>
    </xf>
    <xf numFmtId="0" fontId="124" fillId="3" borderId="13" xfId="0" applyNumberFormat="1" applyFont="1" applyFill="1" applyBorder="1" applyAlignment="1" applyProtection="1">
      <alignment horizontal="center" vertical="center" wrapText="1"/>
    </xf>
    <xf numFmtId="0" fontId="124" fillId="3" borderId="14" xfId="0" applyNumberFormat="1" applyFont="1" applyFill="1" applyBorder="1" applyAlignment="1" applyProtection="1">
      <alignment horizontal="center" vertical="center"/>
    </xf>
    <xf numFmtId="0" fontId="124" fillId="3" borderId="69" xfId="0" applyNumberFormat="1" applyFont="1" applyFill="1" applyBorder="1" applyAlignment="1" applyProtection="1">
      <alignment horizontal="center" vertical="center"/>
    </xf>
    <xf numFmtId="0" fontId="124" fillId="4" borderId="17" xfId="0" applyNumberFormat="1" applyFont="1" applyFill="1" applyBorder="1" applyAlignment="1" applyProtection="1">
      <alignment horizontal="center" vertical="center"/>
    </xf>
    <xf numFmtId="0" fontId="124" fillId="4" borderId="18" xfId="0" applyNumberFormat="1" applyFont="1" applyFill="1" applyBorder="1" applyAlignment="1" applyProtection="1">
      <alignment horizontal="center" vertical="center"/>
    </xf>
    <xf numFmtId="0" fontId="124" fillId="4" borderId="19" xfId="0" applyNumberFormat="1" applyFont="1" applyFill="1" applyBorder="1" applyAlignment="1" applyProtection="1">
      <alignment horizontal="center" vertical="center"/>
    </xf>
    <xf numFmtId="0" fontId="124" fillId="4" borderId="70" xfId="0" applyNumberFormat="1" applyFont="1" applyFill="1" applyBorder="1" applyAlignment="1" applyProtection="1">
      <alignment horizontal="center" vertical="center"/>
    </xf>
    <xf numFmtId="0" fontId="75" fillId="4" borderId="71" xfId="0" applyNumberFormat="1" applyFont="1" applyFill="1" applyBorder="1" applyAlignment="1" applyProtection="1">
      <alignment horizontal="center" vertical="center" wrapText="1"/>
    </xf>
    <xf numFmtId="0" fontId="75" fillId="4" borderId="22" xfId="0" applyNumberFormat="1" applyFont="1" applyFill="1" applyBorder="1" applyAlignment="1" applyProtection="1">
      <alignment horizontal="center" vertical="center"/>
    </xf>
    <xf numFmtId="0" fontId="124" fillId="4" borderId="23" xfId="0" applyNumberFormat="1" applyFont="1" applyFill="1" applyBorder="1" applyAlignment="1" applyProtection="1">
      <alignment horizontal="center" vertical="center"/>
    </xf>
    <xf numFmtId="0" fontId="75" fillId="2" borderId="60" xfId="0" applyNumberFormat="1" applyFont="1" applyFill="1" applyBorder="1" applyAlignment="1" applyProtection="1">
      <alignment horizontal="center" vertical="center"/>
    </xf>
    <xf numFmtId="0" fontId="75" fillId="2" borderId="33" xfId="0" applyNumberFormat="1" applyFont="1" applyFill="1" applyBorder="1" applyAlignment="1" applyProtection="1">
      <alignment horizontal="left" vertical="center"/>
    </xf>
    <xf numFmtId="165" fontId="75" fillId="2" borderId="25" xfId="78" applyNumberFormat="1" applyFont="1" applyFill="1" applyBorder="1" applyAlignment="1" applyProtection="1">
      <alignment horizontal="right" vertical="center"/>
    </xf>
    <xf numFmtId="3" fontId="75" fillId="2" borderId="33" xfId="0" applyNumberFormat="1" applyFont="1" applyFill="1" applyBorder="1" applyAlignment="1" applyProtection="1">
      <alignment horizontal="right" vertical="center"/>
    </xf>
    <xf numFmtId="3" fontId="75" fillId="2" borderId="61" xfId="0" applyNumberFormat="1" applyFont="1" applyFill="1" applyBorder="1" applyAlignment="1" applyProtection="1">
      <alignment horizontal="right" vertical="center"/>
    </xf>
    <xf numFmtId="165" fontId="75" fillId="5" borderId="25" xfId="78" applyNumberFormat="1" applyFont="1" applyFill="1" applyBorder="1" applyAlignment="1" applyProtection="1">
      <alignment horizontal="right" vertical="center"/>
    </xf>
    <xf numFmtId="3" fontId="75" fillId="5" borderId="33" xfId="0" applyNumberFormat="1" applyFont="1" applyFill="1" applyBorder="1" applyAlignment="1" applyProtection="1">
      <alignment horizontal="right" vertical="center"/>
    </xf>
    <xf numFmtId="3" fontId="75" fillId="5" borderId="61" xfId="0" applyNumberFormat="1" applyFont="1" applyFill="1" applyBorder="1" applyAlignment="1" applyProtection="1">
      <alignment horizontal="right" vertical="center"/>
    </xf>
    <xf numFmtId="3" fontId="124" fillId="5" borderId="33" xfId="0" applyNumberFormat="1" applyFont="1" applyFill="1" applyBorder="1" applyAlignment="1" applyProtection="1">
      <alignment horizontal="right" vertical="center"/>
    </xf>
    <xf numFmtId="0" fontId="124" fillId="3" borderId="41" xfId="0" applyNumberFormat="1" applyFont="1" applyFill="1" applyBorder="1" applyAlignment="1" applyProtection="1">
      <alignment horizontal="left" vertical="center"/>
    </xf>
    <xf numFmtId="0" fontId="124" fillId="3" borderId="7" xfId="0" applyNumberFormat="1" applyFont="1" applyFill="1" applyBorder="1" applyAlignment="1" applyProtection="1">
      <alignment horizontal="center" vertical="center"/>
    </xf>
    <xf numFmtId="0" fontId="124" fillId="3" borderId="15" xfId="0" applyNumberFormat="1" applyFont="1" applyFill="1" applyBorder="1" applyAlignment="1" applyProtection="1">
      <alignment horizontal="center" vertical="center"/>
    </xf>
    <xf numFmtId="0" fontId="49" fillId="4" borderId="21" xfId="0" applyNumberFormat="1" applyFont="1" applyFill="1" applyBorder="1" applyAlignment="1" applyProtection="1">
      <alignment horizontal="center" vertical="center" wrapText="1"/>
    </xf>
    <xf numFmtId="0" fontId="122" fillId="4" borderId="22" xfId="0" applyNumberFormat="1" applyFont="1" applyFill="1" applyBorder="1" applyAlignment="1" applyProtection="1">
      <alignment horizontal="center" vertical="center"/>
    </xf>
    <xf numFmtId="0" fontId="75" fillId="4" borderId="32" xfId="0" applyNumberFormat="1" applyFont="1" applyFill="1" applyBorder="1" applyAlignment="1" applyProtection="1">
      <alignment horizontal="center" vertical="center"/>
    </xf>
    <xf numFmtId="0" fontId="75" fillId="4" borderId="33" xfId="0" applyNumberFormat="1" applyFont="1" applyFill="1" applyBorder="1" applyAlignment="1" applyProtection="1">
      <alignment horizontal="left" vertical="center"/>
    </xf>
    <xf numFmtId="3" fontId="75" fillId="4" borderId="33" xfId="0" applyNumberFormat="1" applyFont="1" applyFill="1" applyBorder="1" applyAlignment="1" applyProtection="1">
      <alignment horizontal="right" vertical="center"/>
    </xf>
    <xf numFmtId="3" fontId="75" fillId="4" borderId="6" xfId="0" applyNumberFormat="1" applyFont="1" applyFill="1" applyBorder="1" applyAlignment="1" applyProtection="1">
      <alignment horizontal="right" vertical="center"/>
    </xf>
    <xf numFmtId="0" fontId="124" fillId="4" borderId="32" xfId="0" applyNumberFormat="1" applyFont="1" applyFill="1" applyBorder="1" applyAlignment="1" applyProtection="1">
      <alignment horizontal="center" vertical="center"/>
    </xf>
    <xf numFmtId="0" fontId="124" fillId="4" borderId="33" xfId="0" applyNumberFormat="1" applyFont="1" applyFill="1" applyBorder="1" applyAlignment="1" applyProtection="1">
      <alignment horizontal="left" vertical="center"/>
    </xf>
    <xf numFmtId="3" fontId="124" fillId="5" borderId="6" xfId="0" applyNumberFormat="1" applyFont="1" applyFill="1" applyBorder="1" applyAlignment="1" applyProtection="1">
      <alignment horizontal="right" vertical="center"/>
    </xf>
    <xf numFmtId="0" fontId="49" fillId="4" borderId="1" xfId="111" applyNumberFormat="1" applyFont="1" applyFill="1" applyBorder="1" applyAlignment="1" applyProtection="1">
      <alignment wrapText="1"/>
      <protection locked="0"/>
    </xf>
    <xf numFmtId="0" fontId="79" fillId="3" borderId="41" xfId="111" applyNumberFormat="1" applyFont="1" applyFill="1" applyBorder="1" applyAlignment="1" applyProtection="1">
      <alignment horizontal="left" vertical="center"/>
    </xf>
    <xf numFmtId="0" fontId="79" fillId="3" borderId="7" xfId="111" applyNumberFormat="1" applyFont="1" applyFill="1" applyBorder="1" applyAlignment="1" applyProtection="1">
      <alignment horizontal="center" vertical="center" wrapText="1"/>
    </xf>
    <xf numFmtId="0" fontId="79" fillId="3" borderId="9" xfId="111" applyNumberFormat="1" applyFont="1" applyFill="1" applyBorder="1" applyAlignment="1" applyProtection="1">
      <alignment horizontal="center" vertical="center" wrapText="1"/>
    </xf>
    <xf numFmtId="0" fontId="79" fillId="3" borderId="10" xfId="111" applyNumberFormat="1" applyFont="1" applyFill="1" applyBorder="1" applyAlignment="1" applyProtection="1">
      <alignment horizontal="center" vertical="center" wrapText="1"/>
    </xf>
    <xf numFmtId="0" fontId="79" fillId="3" borderId="11" xfId="111" applyNumberFormat="1" applyFont="1" applyFill="1" applyBorder="1" applyAlignment="1" applyProtection="1">
      <alignment horizontal="center" vertical="center" wrapText="1"/>
    </xf>
    <xf numFmtId="0" fontId="79" fillId="3" borderId="12" xfId="111" applyNumberFormat="1" applyFont="1" applyFill="1" applyBorder="1" applyAlignment="1" applyProtection="1">
      <alignment horizontal="center" vertical="center" wrapText="1"/>
    </xf>
    <xf numFmtId="0" fontId="79" fillId="3" borderId="13" xfId="111" applyNumberFormat="1" applyFont="1" applyFill="1" applyBorder="1" applyAlignment="1" applyProtection="1">
      <alignment horizontal="center" vertical="center" wrapText="1"/>
    </xf>
    <xf numFmtId="0" fontId="79" fillId="3" borderId="14" xfId="111" applyNumberFormat="1" applyFont="1" applyFill="1" applyBorder="1" applyAlignment="1" applyProtection="1">
      <alignment horizontal="center" vertical="center"/>
    </xf>
    <xf numFmtId="0" fontId="79" fillId="3" borderId="15" xfId="111" applyNumberFormat="1" applyFont="1" applyFill="1" applyBorder="1" applyAlignment="1" applyProtection="1">
      <alignment horizontal="center" vertical="center"/>
    </xf>
    <xf numFmtId="0" fontId="79" fillId="4" borderId="17" xfId="111" applyNumberFormat="1" applyFont="1" applyFill="1" applyBorder="1" applyAlignment="1" applyProtection="1">
      <alignment horizontal="center" vertical="center"/>
    </xf>
    <xf numFmtId="0" fontId="79" fillId="4" borderId="18" xfId="111" applyNumberFormat="1" applyFont="1" applyFill="1" applyBorder="1" applyAlignment="1" applyProtection="1">
      <alignment horizontal="center" vertical="center"/>
    </xf>
    <xf numFmtId="0" fontId="79" fillId="4" borderId="19" xfId="111" applyNumberFormat="1" applyFont="1" applyFill="1" applyBorder="1" applyAlignment="1" applyProtection="1">
      <alignment horizontal="center" vertical="center"/>
    </xf>
    <xf numFmtId="0" fontId="79" fillId="4" borderId="20" xfId="111" applyNumberFormat="1" applyFont="1" applyFill="1" applyBorder="1" applyAlignment="1" applyProtection="1">
      <alignment horizontal="center" vertical="center"/>
    </xf>
    <xf numFmtId="0" fontId="49" fillId="4" borderId="21" xfId="111" applyNumberFormat="1" applyFont="1" applyFill="1" applyBorder="1" applyAlignment="1" applyProtection="1">
      <alignment horizontal="center" vertical="center"/>
    </xf>
    <xf numFmtId="0" fontId="49" fillId="4" borderId="22" xfId="111" applyNumberFormat="1" applyFont="1" applyFill="1" applyBorder="1" applyAlignment="1" applyProtection="1">
      <alignment horizontal="center" vertical="center"/>
    </xf>
    <xf numFmtId="3" fontId="79" fillId="4" borderId="17" xfId="111" applyNumberFormat="1" applyFont="1" applyFill="1" applyBorder="1" applyAlignment="1" applyProtection="1">
      <alignment horizontal="center" vertical="center"/>
    </xf>
    <xf numFmtId="0" fontId="79" fillId="4" borderId="23" xfId="111" applyNumberFormat="1" applyFont="1" applyFill="1" applyBorder="1" applyAlignment="1" applyProtection="1">
      <alignment horizontal="center" vertical="center"/>
    </xf>
    <xf numFmtId="0" fontId="49" fillId="2" borderId="32" xfId="111" applyNumberFormat="1" applyFont="1" applyFill="1" applyBorder="1" applyAlignment="1" applyProtection="1">
      <alignment horizontal="center" vertical="center"/>
    </xf>
    <xf numFmtId="0" fontId="49" fillId="2" borderId="33" xfId="111" applyNumberFormat="1" applyFont="1" applyFill="1" applyBorder="1" applyAlignment="1" applyProtection="1">
      <alignment horizontal="left" vertical="center"/>
    </xf>
    <xf numFmtId="3" fontId="49" fillId="2" borderId="33" xfId="111" applyNumberFormat="1" applyFont="1" applyFill="1" applyBorder="1" applyAlignment="1" applyProtection="1">
      <alignment horizontal="right" vertical="center"/>
    </xf>
    <xf numFmtId="165" fontId="79" fillId="2" borderId="6" xfId="77" applyNumberFormat="1" applyFont="1" applyFill="1" applyBorder="1" applyAlignment="1" applyProtection="1">
      <alignment horizontal="right" vertical="center"/>
    </xf>
    <xf numFmtId="0" fontId="79" fillId="2" borderId="32" xfId="111" applyNumberFormat="1" applyFont="1" applyFill="1" applyBorder="1" applyAlignment="1" applyProtection="1">
      <alignment horizontal="center" vertical="center"/>
    </xf>
    <xf numFmtId="0" fontId="79" fillId="2" borderId="33" xfId="111" applyNumberFormat="1" applyFont="1" applyFill="1" applyBorder="1" applyAlignment="1" applyProtection="1">
      <alignment horizontal="left" vertical="center"/>
    </xf>
    <xf numFmtId="3" fontId="79" fillId="2" borderId="33" xfId="111" applyNumberFormat="1" applyFont="1" applyFill="1" applyBorder="1" applyAlignment="1" applyProtection="1">
      <alignment horizontal="right" vertical="center"/>
    </xf>
    <xf numFmtId="165" fontId="79" fillId="2" borderId="33" xfId="77" applyNumberFormat="1" applyFont="1" applyFill="1" applyBorder="1" applyAlignment="1" applyProtection="1">
      <alignment horizontal="right" vertical="center"/>
    </xf>
    <xf numFmtId="0" fontId="124" fillId="3" borderId="11" xfId="10" applyNumberFormat="1" applyFont="1" applyFill="1" applyBorder="1" applyAlignment="1" applyProtection="1">
      <alignment horizontal="center" vertical="center" wrapText="1"/>
    </xf>
    <xf numFmtId="0" fontId="124" fillId="3" borderId="12" xfId="10" applyNumberFormat="1" applyFont="1" applyFill="1" applyBorder="1" applyAlignment="1" applyProtection="1">
      <alignment horizontal="center" vertical="center" wrapText="1"/>
    </xf>
    <xf numFmtId="0" fontId="124" fillId="3" borderId="13" xfId="10" applyNumberFormat="1" applyFont="1" applyFill="1" applyBorder="1" applyAlignment="1" applyProtection="1">
      <alignment horizontal="center" vertical="center" wrapText="1"/>
    </xf>
    <xf numFmtId="0" fontId="124" fillId="3" borderId="14" xfId="10" applyNumberFormat="1" applyFont="1" applyFill="1" applyBorder="1" applyAlignment="1" applyProtection="1">
      <alignment horizontal="center" vertical="center"/>
    </xf>
    <xf numFmtId="0" fontId="79" fillId="4" borderId="17" xfId="10" applyNumberFormat="1" applyFont="1" applyFill="1" applyBorder="1" applyAlignment="1" applyProtection="1">
      <alignment horizontal="center" vertical="center"/>
    </xf>
    <xf numFmtId="0" fontId="79" fillId="4" borderId="18" xfId="10" applyNumberFormat="1" applyFont="1" applyFill="1" applyBorder="1" applyAlignment="1" applyProtection="1">
      <alignment horizontal="center" vertical="center"/>
    </xf>
    <xf numFmtId="0" fontId="79" fillId="4" borderId="19" xfId="10" applyNumberFormat="1" applyFont="1" applyFill="1" applyBorder="1" applyAlignment="1" applyProtection="1">
      <alignment horizontal="center" vertical="center"/>
    </xf>
    <xf numFmtId="0" fontId="79" fillId="4" borderId="20" xfId="10" applyNumberFormat="1" applyFont="1" applyFill="1" applyBorder="1" applyAlignment="1" applyProtection="1">
      <alignment horizontal="center" vertical="center"/>
    </xf>
    <xf numFmtId="0" fontId="49" fillId="4" borderId="21" xfId="10" applyNumberFormat="1" applyFont="1" applyFill="1" applyBorder="1" applyAlignment="1" applyProtection="1">
      <alignment horizontal="center" vertical="center"/>
    </xf>
    <xf numFmtId="0" fontId="122" fillId="4" borderId="22" xfId="10" applyNumberFormat="1" applyFont="1" applyFill="1" applyBorder="1" applyAlignment="1" applyProtection="1">
      <alignment horizontal="center" vertical="center"/>
    </xf>
    <xf numFmtId="0" fontId="79" fillId="4" borderId="23" xfId="10" applyNumberFormat="1" applyFont="1" applyFill="1" applyBorder="1" applyAlignment="1" applyProtection="1">
      <alignment horizontal="center" vertical="center"/>
    </xf>
    <xf numFmtId="0" fontId="75" fillId="2" borderId="32" xfId="10" applyNumberFormat="1" applyFont="1" applyFill="1" applyBorder="1" applyAlignment="1" applyProtection="1">
      <alignment horizontal="center" vertical="center"/>
    </xf>
    <xf numFmtId="0" fontId="75" fillId="2" borderId="33" xfId="10" applyNumberFormat="1" applyFont="1" applyFill="1" applyBorder="1" applyAlignment="1" applyProtection="1">
      <alignment horizontal="left" vertical="center"/>
    </xf>
    <xf numFmtId="4" fontId="75" fillId="2" borderId="33" xfId="10" applyNumberFormat="1" applyFont="1" applyFill="1" applyBorder="1" applyAlignment="1" applyProtection="1">
      <alignment horizontal="right" vertical="center"/>
    </xf>
    <xf numFmtId="3" fontId="75" fillId="2" borderId="33" xfId="10" applyNumberFormat="1" applyFont="1" applyFill="1" applyBorder="1" applyAlignment="1" applyProtection="1">
      <alignment horizontal="right" vertical="center"/>
    </xf>
    <xf numFmtId="3" fontId="124" fillId="2" borderId="33" xfId="10" applyNumberFormat="1" applyFont="1" applyFill="1" applyBorder="1" applyAlignment="1" applyProtection="1">
      <alignment horizontal="right" vertical="center"/>
    </xf>
    <xf numFmtId="0" fontId="124" fillId="2" borderId="32" xfId="10" applyNumberFormat="1" applyFont="1" applyFill="1" applyBorder="1" applyAlignment="1" applyProtection="1">
      <alignment horizontal="center" vertical="center"/>
    </xf>
    <xf numFmtId="0" fontId="124" fillId="2" borderId="33" xfId="10" applyNumberFormat="1" applyFont="1" applyFill="1" applyBorder="1" applyAlignment="1" applyProtection="1">
      <alignment horizontal="left" vertical="center"/>
    </xf>
    <xf numFmtId="4" fontId="124" fillId="2" borderId="33" xfId="10" applyNumberFormat="1" applyFont="1" applyFill="1" applyBorder="1" applyAlignment="1" applyProtection="1">
      <alignment horizontal="right" vertical="center"/>
    </xf>
    <xf numFmtId="3" fontId="124" fillId="2" borderId="6" xfId="10" applyNumberFormat="1" applyFont="1" applyFill="1" applyBorder="1" applyAlignment="1" applyProtection="1">
      <alignment horizontal="right" vertical="center"/>
    </xf>
    <xf numFmtId="3" fontId="125" fillId="4" borderId="61" xfId="0" applyNumberFormat="1" applyFont="1" applyFill="1" applyBorder="1" applyAlignment="1" applyProtection="1">
      <alignment horizontal="right" vertical="center"/>
    </xf>
    <xf numFmtId="0" fontId="49" fillId="4" borderId="0" xfId="0" applyFont="1" applyFill="1" applyAlignment="1" applyProtection="1">
      <alignment wrapText="1"/>
      <protection locked="0"/>
    </xf>
    <xf numFmtId="0" fontId="77" fillId="4" borderId="1" xfId="0" applyFont="1" applyFill="1" applyBorder="1" applyAlignment="1">
      <alignment horizontal="left" vertical="top"/>
    </xf>
    <xf numFmtId="0" fontId="49" fillId="4" borderId="0" xfId="0" applyFont="1" applyFill="1"/>
    <xf numFmtId="0" fontId="28" fillId="4" borderId="1" xfId="0" applyNumberFormat="1" applyFont="1" applyFill="1" applyBorder="1" applyAlignment="1" applyProtection="1">
      <alignment horizontal="center" vertical="top"/>
    </xf>
    <xf numFmtId="0" fontId="82" fillId="4" borderId="1" xfId="0" applyNumberFormat="1" applyFont="1" applyFill="1" applyBorder="1" applyAlignment="1" applyProtection="1">
      <alignment horizontal="left" vertical="center"/>
    </xf>
    <xf numFmtId="0" fontId="33" fillId="4" borderId="1" xfId="0" applyNumberFormat="1" applyFont="1" applyFill="1" applyBorder="1" applyAlignment="1" applyProtection="1">
      <alignment horizontal="left" vertical="top"/>
    </xf>
    <xf numFmtId="165" fontId="49" fillId="0" borderId="0" xfId="0" applyNumberFormat="1" applyFont="1"/>
    <xf numFmtId="4" fontId="29" fillId="0" borderId="0" xfId="0" applyNumberFormat="1" applyFont="1"/>
    <xf numFmtId="165" fontId="49" fillId="0" borderId="0" xfId="78" applyNumberFormat="1" applyFont="1"/>
    <xf numFmtId="165" fontId="29" fillId="0" borderId="0" xfId="78" applyNumberFormat="1" applyFont="1"/>
    <xf numFmtId="165" fontId="64" fillId="0" borderId="0" xfId="78" applyNumberFormat="1" applyFont="1"/>
    <xf numFmtId="165" fontId="27" fillId="2" borderId="1" xfId="78" applyNumberFormat="1" applyFont="1" applyFill="1" applyBorder="1" applyAlignment="1" applyProtection="1">
      <alignment horizontal="right" vertical="center"/>
    </xf>
    <xf numFmtId="0" fontId="28" fillId="44" borderId="32" xfId="0" applyNumberFormat="1" applyFont="1" applyFill="1" applyBorder="1" applyAlignment="1" applyProtection="1">
      <alignment horizontal="center" vertical="center"/>
    </xf>
    <xf numFmtId="0" fontId="28" fillId="44" borderId="33" xfId="0" applyNumberFormat="1" applyFont="1" applyFill="1" applyBorder="1" applyAlignment="1" applyProtection="1">
      <alignment horizontal="left" vertical="center"/>
    </xf>
    <xf numFmtId="165" fontId="28" fillId="44" borderId="33" xfId="77" applyNumberFormat="1" applyFont="1" applyFill="1" applyBorder="1" applyAlignment="1" applyProtection="1">
      <alignment horizontal="right" vertical="center"/>
    </xf>
    <xf numFmtId="165" fontId="28" fillId="44" borderId="6" xfId="77" applyNumberFormat="1" applyFont="1" applyFill="1" applyBorder="1" applyAlignment="1" applyProtection="1">
      <alignment horizontal="right" vertical="center"/>
    </xf>
    <xf numFmtId="165" fontId="28" fillId="2" borderId="49" xfId="77" applyNumberFormat="1" applyFont="1" applyFill="1" applyBorder="1" applyAlignment="1" applyProtection="1">
      <alignment horizontal="right" vertical="center"/>
    </xf>
    <xf numFmtId="3" fontId="28" fillId="2" borderId="33" xfId="0" applyNumberFormat="1" applyFont="1" applyFill="1" applyBorder="1" applyAlignment="1" applyProtection="1">
      <alignment horizontal="right" vertical="center"/>
    </xf>
    <xf numFmtId="165" fontId="34" fillId="2" borderId="26" xfId="78" applyNumberFormat="1" applyFont="1" applyFill="1" applyBorder="1" applyAlignment="1" applyProtection="1">
      <alignment horizontal="right" vertical="center"/>
    </xf>
    <xf numFmtId="166" fontId="28" fillId="2" borderId="33" xfId="0" applyNumberFormat="1" applyFont="1" applyFill="1" applyBorder="1" applyAlignment="1" applyProtection="1">
      <alignment horizontal="right" vertical="center"/>
    </xf>
    <xf numFmtId="165" fontId="49" fillId="4" borderId="0" xfId="78" applyNumberFormat="1" applyFont="1" applyFill="1" applyAlignment="1" applyProtection="1">
      <alignment wrapText="1"/>
      <protection locked="0"/>
    </xf>
    <xf numFmtId="165" fontId="28" fillId="4" borderId="50" xfId="78" applyNumberFormat="1" applyFont="1" applyFill="1" applyBorder="1" applyAlignment="1">
      <alignment horizontal="center" vertical="center"/>
    </xf>
    <xf numFmtId="165" fontId="26" fillId="4" borderId="50" xfId="78" applyNumberFormat="1" applyFont="1" applyFill="1" applyBorder="1" applyAlignment="1">
      <alignment horizontal="right" vertical="center"/>
    </xf>
    <xf numFmtId="165" fontId="28" fillId="7" borderId="6" xfId="78" applyNumberFormat="1" applyFont="1" applyFill="1" applyBorder="1" applyAlignment="1" applyProtection="1">
      <alignment horizontal="right" vertical="center"/>
    </xf>
    <xf numFmtId="165" fontId="34" fillId="2" borderId="25" xfId="78" applyNumberFormat="1" applyFont="1" applyFill="1" applyBorder="1" applyAlignment="1" applyProtection="1">
      <alignment horizontal="right" vertical="center"/>
    </xf>
    <xf numFmtId="165" fontId="34" fillId="2" borderId="6" xfId="78" applyNumberFormat="1" applyFont="1" applyFill="1" applyBorder="1" applyAlignment="1" applyProtection="1">
      <alignment horizontal="right" vertical="center"/>
    </xf>
    <xf numFmtId="165" fontId="28" fillId="44" borderId="6" xfId="78" applyNumberFormat="1" applyFont="1" applyFill="1" applyBorder="1" applyAlignment="1" applyProtection="1">
      <alignment horizontal="right" vertical="center"/>
    </xf>
    <xf numFmtId="165" fontId="28" fillId="2" borderId="33" xfId="78" applyNumberFormat="1" applyFont="1" applyFill="1" applyBorder="1" applyAlignment="1" applyProtection="1">
      <alignment horizontal="right" vertical="center"/>
    </xf>
    <xf numFmtId="165" fontId="29" fillId="4" borderId="0" xfId="78" applyNumberFormat="1" applyFont="1" applyFill="1"/>
    <xf numFmtId="43" fontId="75" fillId="2" borderId="25" xfId="78" applyNumberFormat="1" applyFont="1" applyFill="1" applyBorder="1" applyAlignment="1" applyProtection="1">
      <alignment horizontal="right" vertical="center"/>
    </xf>
    <xf numFmtId="0" fontId="28" fillId="5" borderId="17" xfId="0" applyNumberFormat="1" applyFont="1" applyFill="1" applyBorder="1" applyAlignment="1" applyProtection="1">
      <alignment horizontal="center" vertical="center"/>
    </xf>
    <xf numFmtId="0" fontId="28" fillId="5" borderId="18" xfId="0" applyNumberFormat="1" applyFont="1" applyFill="1" applyBorder="1" applyAlignment="1" applyProtection="1">
      <alignment horizontal="center" vertical="center"/>
    </xf>
    <xf numFmtId="0" fontId="28" fillId="5" borderId="19" xfId="0" applyNumberFormat="1" applyFont="1" applyFill="1" applyBorder="1" applyAlignment="1" applyProtection="1">
      <alignment horizontal="center" vertical="center"/>
    </xf>
    <xf numFmtId="0" fontId="28" fillId="4" borderId="157" xfId="0" applyNumberFormat="1" applyFont="1" applyFill="1" applyBorder="1" applyAlignment="1" applyProtection="1">
      <alignment horizontal="center" vertical="center"/>
    </xf>
    <xf numFmtId="3" fontId="34" fillId="4" borderId="33" xfId="0" applyNumberFormat="1" applyFont="1" applyFill="1" applyBorder="1" applyAlignment="1" applyProtection="1">
      <alignment horizontal="right" vertical="center"/>
    </xf>
    <xf numFmtId="3" fontId="34" fillId="5" borderId="33" xfId="0" applyNumberFormat="1" applyFont="1" applyFill="1" applyBorder="1" applyAlignment="1" applyProtection="1">
      <alignment horizontal="right" vertical="center"/>
    </xf>
    <xf numFmtId="0" fontId="34" fillId="5" borderId="33" xfId="0" applyNumberFormat="1" applyFont="1" applyFill="1" applyBorder="1" applyAlignment="1" applyProtection="1">
      <alignment horizontal="right" vertical="center"/>
    </xf>
    <xf numFmtId="3" fontId="34" fillId="4" borderId="6" xfId="0" applyNumberFormat="1" applyFont="1" applyFill="1" applyBorder="1" applyAlignment="1" applyProtection="1">
      <alignment horizontal="right" vertical="center" wrapText="1"/>
    </xf>
    <xf numFmtId="165" fontId="49" fillId="4" borderId="1" xfId="77" applyNumberFormat="1" applyFont="1"/>
    <xf numFmtId="0" fontId="34" fillId="4" borderId="32" xfId="0" applyNumberFormat="1" applyFont="1" applyFill="1" applyBorder="1" applyAlignment="1" applyProtection="1">
      <alignment horizontal="center" vertical="center"/>
    </xf>
    <xf numFmtId="0" fontId="34" fillId="4" borderId="33" xfId="0" applyNumberFormat="1" applyFont="1" applyFill="1" applyBorder="1" applyAlignment="1" applyProtection="1">
      <alignment horizontal="left" vertical="center" wrapText="1"/>
    </xf>
    <xf numFmtId="0" fontId="34" fillId="4" borderId="33" xfId="0" applyNumberFormat="1" applyFont="1" applyFill="1" applyBorder="1" applyAlignment="1" applyProtection="1">
      <alignment horizontal="left" vertical="center"/>
    </xf>
    <xf numFmtId="3" fontId="28" fillId="5" borderId="33" xfId="0" applyNumberFormat="1" applyFont="1" applyFill="1" applyBorder="1" applyAlignment="1" applyProtection="1">
      <alignment horizontal="right" vertical="center"/>
    </xf>
    <xf numFmtId="0" fontId="28" fillId="5" borderId="33" xfId="0" applyNumberFormat="1" applyFont="1" applyFill="1" applyBorder="1" applyAlignment="1" applyProtection="1">
      <alignment horizontal="right" vertical="center"/>
    </xf>
    <xf numFmtId="0" fontId="34" fillId="2" borderId="52" xfId="0" applyNumberFormat="1" applyFont="1" applyFill="1" applyBorder="1" applyAlignment="1" applyProtection="1">
      <alignment horizontal="left" vertical="center" wrapText="1"/>
    </xf>
    <xf numFmtId="0" fontId="34" fillId="2" borderId="52" xfId="0" applyNumberFormat="1" applyFont="1" applyFill="1" applyBorder="1" applyAlignment="1" applyProtection="1">
      <alignment horizontal="right" vertical="center" wrapText="1"/>
    </xf>
    <xf numFmtId="3" fontId="34" fillId="5" borderId="52" xfId="0" applyNumberFormat="1" applyFont="1" applyFill="1" applyBorder="1" applyAlignment="1" applyProtection="1">
      <alignment horizontal="right" vertical="center" wrapText="1"/>
    </xf>
    <xf numFmtId="0" fontId="34" fillId="2" borderId="158" xfId="0" applyNumberFormat="1" applyFont="1" applyFill="1" applyBorder="1" applyAlignment="1" applyProtection="1">
      <alignment horizontal="right" vertical="center" wrapText="1"/>
    </xf>
    <xf numFmtId="0" fontId="49" fillId="5" borderId="0" xfId="0" applyFont="1" applyFill="1"/>
    <xf numFmtId="165" fontId="20" fillId="4" borderId="1" xfId="77" applyNumberFormat="1" applyFont="1"/>
    <xf numFmtId="43" fontId="20" fillId="4" borderId="1" xfId="77" applyNumberFormat="1" applyFont="1" applyFill="1" applyBorder="1" applyAlignment="1" applyProtection="1">
      <alignment wrapText="1"/>
      <protection locked="0"/>
    </xf>
    <xf numFmtId="165" fontId="132" fillId="3" borderId="154" xfId="77" applyNumberFormat="1" applyFont="1" applyFill="1" applyBorder="1" applyAlignment="1" applyProtection="1">
      <alignment horizontal="center" vertical="center" wrapText="1"/>
    </xf>
    <xf numFmtId="165" fontId="132" fillId="3" borderId="14" xfId="77" applyNumberFormat="1" applyFont="1" applyFill="1" applyBorder="1" applyAlignment="1" applyProtection="1">
      <alignment horizontal="center" vertical="center"/>
    </xf>
    <xf numFmtId="165" fontId="134" fillId="4" borderId="19" xfId="77" applyNumberFormat="1" applyFont="1" applyFill="1" applyBorder="1" applyAlignment="1" applyProtection="1">
      <alignment horizontal="center" vertical="center"/>
    </xf>
    <xf numFmtId="165" fontId="135" fillId="4" borderId="33" xfId="77" applyNumberFormat="1" applyFont="1" applyFill="1" applyBorder="1" applyAlignment="1" applyProtection="1">
      <alignment horizontal="right" vertical="center"/>
    </xf>
    <xf numFmtId="0" fontId="134" fillId="4" borderId="17" xfId="12" applyNumberFormat="1" applyFont="1" applyFill="1" applyBorder="1" applyAlignment="1" applyProtection="1">
      <alignment horizontal="center" vertical="center"/>
    </xf>
    <xf numFmtId="0" fontId="134" fillId="4" borderId="18" xfId="12" applyNumberFormat="1" applyFont="1" applyFill="1" applyBorder="1" applyAlignment="1" applyProtection="1">
      <alignment horizontal="center" vertical="center"/>
    </xf>
    <xf numFmtId="0" fontId="134" fillId="4" borderId="157" xfId="12" applyNumberFormat="1" applyFont="1" applyFill="1" applyBorder="1" applyAlignment="1" applyProtection="1">
      <alignment horizontal="center" vertical="center"/>
    </xf>
    <xf numFmtId="165" fontId="20" fillId="4" borderId="1" xfId="77" applyNumberFormat="1" applyFont="1" applyFill="1" applyBorder="1" applyAlignment="1" applyProtection="1">
      <alignment wrapText="1"/>
      <protection locked="0"/>
    </xf>
    <xf numFmtId="165" fontId="50" fillId="4" borderId="50" xfId="77" applyNumberFormat="1" applyFont="1" applyFill="1" applyBorder="1" applyAlignment="1">
      <alignment vertical="center"/>
    </xf>
    <xf numFmtId="0" fontId="50" fillId="4" borderId="50" xfId="8" applyFont="1" applyBorder="1" applyAlignment="1">
      <alignment horizontal="left" vertical="center" wrapText="1"/>
    </xf>
    <xf numFmtId="0" fontId="134" fillId="5" borderId="19" xfId="12" applyNumberFormat="1" applyFont="1" applyFill="1" applyBorder="1" applyAlignment="1" applyProtection="1">
      <alignment horizontal="center" vertical="center"/>
    </xf>
    <xf numFmtId="0" fontId="134" fillId="5" borderId="17" xfId="12" applyNumberFormat="1" applyFont="1" applyFill="1" applyBorder="1" applyAlignment="1" applyProtection="1">
      <alignment horizontal="center" vertical="center"/>
    </xf>
    <xf numFmtId="0" fontId="134" fillId="5" borderId="18" xfId="12" applyNumberFormat="1" applyFont="1" applyFill="1" applyBorder="1" applyAlignment="1" applyProtection="1">
      <alignment horizontal="center" vertical="center"/>
    </xf>
    <xf numFmtId="0" fontId="134" fillId="5" borderId="157" xfId="12" applyNumberFormat="1" applyFont="1" applyFill="1" applyBorder="1" applyAlignment="1" applyProtection="1">
      <alignment horizontal="center" vertical="center"/>
    </xf>
    <xf numFmtId="165" fontId="34" fillId="5" borderId="33" xfId="77" applyNumberFormat="1" applyFont="1" applyFill="1" applyBorder="1" applyAlignment="1" applyProtection="1">
      <alignment horizontal="right" vertical="center"/>
    </xf>
    <xf numFmtId="0" fontId="140" fillId="3" borderId="168" xfId="0" applyNumberFormat="1" applyFont="1" applyFill="1" applyBorder="1" applyAlignment="1" applyProtection="1">
      <alignment horizontal="left" vertical="center" wrapText="1"/>
    </xf>
    <xf numFmtId="0" fontId="140" fillId="3" borderId="169" xfId="0" applyNumberFormat="1" applyFont="1" applyFill="1" applyBorder="1" applyAlignment="1" applyProtection="1">
      <alignment horizontal="left" vertical="center" wrapText="1"/>
    </xf>
    <xf numFmtId="0" fontId="140" fillId="3" borderId="68" xfId="0" applyNumberFormat="1" applyFont="1" applyFill="1" applyBorder="1" applyAlignment="1" applyProtection="1">
      <alignment horizontal="left" vertical="center" wrapText="1"/>
    </xf>
    <xf numFmtId="0" fontId="140" fillId="3" borderId="42" xfId="0" applyNumberFormat="1" applyFont="1" applyFill="1" applyBorder="1" applyAlignment="1" applyProtection="1">
      <alignment horizontal="left" vertical="center" wrapText="1"/>
    </xf>
    <xf numFmtId="0" fontId="140" fillId="3" borderId="9" xfId="0" applyNumberFormat="1" applyFont="1" applyFill="1" applyBorder="1" applyAlignment="1" applyProtection="1">
      <alignment horizontal="center" vertical="center" wrapText="1"/>
    </xf>
    <xf numFmtId="0" fontId="140" fillId="3" borderId="155" xfId="0" applyNumberFormat="1" applyFont="1" applyFill="1" applyBorder="1" applyAlignment="1" applyProtection="1">
      <alignment horizontal="center" vertical="center" wrapText="1"/>
    </xf>
    <xf numFmtId="0" fontId="140" fillId="3" borderId="12" xfId="0" applyNumberFormat="1" applyFont="1" applyFill="1" applyBorder="1" applyAlignment="1" applyProtection="1">
      <alignment horizontal="center" vertical="center" wrapText="1"/>
    </xf>
    <xf numFmtId="0" fontId="140" fillId="3" borderId="11" xfId="0" applyNumberFormat="1" applyFont="1" applyFill="1" applyBorder="1" applyAlignment="1" applyProtection="1">
      <alignment horizontal="center" vertical="center" wrapText="1"/>
    </xf>
    <xf numFmtId="0" fontId="140" fillId="3" borderId="154" xfId="0" applyNumberFormat="1" applyFont="1" applyFill="1" applyBorder="1" applyAlignment="1" applyProtection="1">
      <alignment horizontal="center" vertical="center" wrapText="1"/>
    </xf>
    <xf numFmtId="0" fontId="140" fillId="3" borderId="173" xfId="0" applyNumberFormat="1" applyFont="1" applyFill="1" applyBorder="1" applyAlignment="1" applyProtection="1">
      <alignment horizontal="center" vertical="center" wrapText="1"/>
    </xf>
    <xf numFmtId="0" fontId="140" fillId="3" borderId="174" xfId="0" applyNumberFormat="1" applyFont="1" applyFill="1" applyBorder="1" applyAlignment="1" applyProtection="1">
      <alignment horizontal="center" vertical="center"/>
    </xf>
    <xf numFmtId="0" fontId="140" fillId="3" borderId="14" xfId="0" applyNumberFormat="1" applyFont="1" applyFill="1" applyBorder="1" applyAlignment="1" applyProtection="1">
      <alignment horizontal="center" vertical="center"/>
    </xf>
    <xf numFmtId="0" fontId="140" fillId="3" borderId="69" xfId="0" applyNumberFormat="1" applyFont="1" applyFill="1" applyBorder="1" applyAlignment="1" applyProtection="1">
      <alignment horizontal="center" vertical="center"/>
    </xf>
    <xf numFmtId="0" fontId="141" fillId="4" borderId="179" xfId="0" applyNumberFormat="1" applyFont="1" applyFill="1" applyBorder="1" applyAlignment="1" applyProtection="1">
      <alignment horizontal="center" vertical="center"/>
    </xf>
    <xf numFmtId="165" fontId="141" fillId="4" borderId="179" xfId="77" applyNumberFormat="1" applyFont="1" applyFill="1" applyBorder="1" applyAlignment="1" applyProtection="1">
      <alignment horizontal="center" vertical="center"/>
    </xf>
    <xf numFmtId="165" fontId="141" fillId="5" borderId="179" xfId="77" applyNumberFormat="1" applyFont="1" applyFill="1" applyBorder="1" applyAlignment="1" applyProtection="1">
      <alignment horizontal="center" vertical="center"/>
    </xf>
    <xf numFmtId="165" fontId="141" fillId="5" borderId="180" xfId="77" applyNumberFormat="1" applyFont="1" applyFill="1" applyBorder="1" applyAlignment="1" applyProtection="1">
      <alignment horizontal="center" vertical="center"/>
    </xf>
    <xf numFmtId="0" fontId="19" fillId="4" borderId="1" xfId="102" applyNumberFormat="1" applyFont="1" applyFill="1" applyBorder="1" applyAlignment="1" applyProtection="1">
      <alignment horizontal="left" vertical="top"/>
    </xf>
    <xf numFmtId="0" fontId="20" fillId="4" borderId="1" xfId="102" applyNumberFormat="1" applyFont="1" applyFill="1" applyBorder="1" applyAlignment="1" applyProtection="1">
      <alignment wrapText="1"/>
      <protection locked="0"/>
    </xf>
    <xf numFmtId="0" fontId="132" fillId="3" borderId="2" xfId="102" applyNumberFormat="1" applyFont="1" applyFill="1" applyBorder="1" applyAlignment="1" applyProtection="1">
      <alignment horizontal="left" vertical="center" wrapText="1"/>
    </xf>
    <xf numFmtId="0" fontId="132" fillId="3" borderId="3" xfId="102" applyNumberFormat="1" applyFont="1" applyFill="1" applyBorder="1" applyAlignment="1" applyProtection="1">
      <alignment horizontal="left" vertical="center" wrapText="1"/>
    </xf>
    <xf numFmtId="0" fontId="132" fillId="3" borderId="41" xfId="102" applyNumberFormat="1" applyFont="1" applyFill="1" applyBorder="1" applyAlignment="1" applyProtection="1">
      <alignment horizontal="left" vertical="center" wrapText="1"/>
    </xf>
    <xf numFmtId="0" fontId="132" fillId="3" borderId="42" xfId="102" applyNumberFormat="1" applyFont="1" applyFill="1" applyBorder="1" applyAlignment="1" applyProtection="1">
      <alignment horizontal="left" vertical="center" wrapText="1"/>
    </xf>
    <xf numFmtId="0" fontId="132" fillId="3" borderId="9" xfId="102" applyNumberFormat="1" applyFont="1" applyFill="1" applyBorder="1" applyAlignment="1" applyProtection="1">
      <alignment horizontal="center" vertical="center" wrapText="1"/>
    </xf>
    <xf numFmtId="0" fontId="132" fillId="3" borderId="155" xfId="102" applyNumberFormat="1" applyFont="1" applyFill="1" applyBorder="1" applyAlignment="1" applyProtection="1">
      <alignment horizontal="center" vertical="center" wrapText="1"/>
    </xf>
    <xf numFmtId="0" fontId="132" fillId="3" borderId="12" xfId="102" applyNumberFormat="1" applyFont="1" applyFill="1" applyBorder="1" applyAlignment="1" applyProtection="1">
      <alignment horizontal="center" vertical="center" wrapText="1"/>
    </xf>
    <xf numFmtId="0" fontId="132" fillId="3" borderId="11" xfId="102" applyNumberFormat="1" applyFont="1" applyFill="1" applyBorder="1" applyAlignment="1" applyProtection="1">
      <alignment horizontal="center" vertical="center" wrapText="1"/>
    </xf>
    <xf numFmtId="0" fontId="132" fillId="3" borderId="156" xfId="102" applyNumberFormat="1" applyFont="1" applyFill="1" applyBorder="1" applyAlignment="1" applyProtection="1">
      <alignment horizontal="center" vertical="center" wrapText="1"/>
    </xf>
    <xf numFmtId="0" fontId="132" fillId="3" borderId="5" xfId="102" applyNumberFormat="1" applyFont="1" applyFill="1" applyBorder="1" applyAlignment="1" applyProtection="1">
      <alignment horizontal="center" vertical="center"/>
    </xf>
    <xf numFmtId="0" fontId="132" fillId="3" borderId="14" xfId="102" applyNumberFormat="1" applyFont="1" applyFill="1" applyBorder="1" applyAlignment="1" applyProtection="1">
      <alignment horizontal="center" vertical="center"/>
    </xf>
    <xf numFmtId="0" fontId="135" fillId="4" borderId="32" xfId="102" applyNumberFormat="1" applyFont="1" applyFill="1" applyBorder="1" applyAlignment="1" applyProtection="1">
      <alignment horizontal="center" vertical="center"/>
    </xf>
    <xf numFmtId="0" fontId="135" fillId="2" borderId="32" xfId="102" applyNumberFormat="1" applyFont="1" applyFill="1" applyBorder="1" applyAlignment="1" applyProtection="1">
      <alignment horizontal="center" vertical="center" wrapText="1"/>
    </xf>
    <xf numFmtId="0" fontId="134" fillId="4" borderId="50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left" vertical="center" wrapText="1"/>
    </xf>
    <xf numFmtId="0" fontId="135" fillId="4" borderId="50" xfId="0" applyFont="1" applyFill="1" applyBorder="1" applyAlignment="1">
      <alignment horizontal="left" vertical="center" wrapText="1"/>
    </xf>
    <xf numFmtId="0" fontId="135" fillId="4" borderId="50" xfId="0" applyFont="1" applyFill="1" applyBorder="1" applyAlignment="1">
      <alignment horizontal="right" vertical="center"/>
    </xf>
    <xf numFmtId="3" fontId="135" fillId="4" borderId="50" xfId="0" applyNumberFormat="1" applyFont="1" applyFill="1" applyBorder="1" applyAlignment="1">
      <alignment horizontal="right" vertical="center"/>
    </xf>
    <xf numFmtId="166" fontId="135" fillId="4" borderId="50" xfId="0" applyNumberFormat="1" applyFont="1" applyFill="1" applyBorder="1" applyAlignment="1">
      <alignment horizontal="right" vertical="center"/>
    </xf>
    <xf numFmtId="167" fontId="135" fillId="4" borderId="50" xfId="77" applyNumberFormat="1" applyFont="1" applyFill="1" applyBorder="1" applyAlignment="1">
      <alignment horizontal="right" vertical="center"/>
    </xf>
    <xf numFmtId="43" fontId="3" fillId="4" borderId="50" xfId="0" applyNumberFormat="1" applyFont="1" applyFill="1" applyBorder="1" applyAlignment="1">
      <alignment horizontal="right" vertical="center"/>
    </xf>
    <xf numFmtId="43" fontId="3" fillId="4" borderId="50" xfId="0" applyNumberFormat="1" applyFont="1" applyFill="1" applyBorder="1" applyAlignment="1">
      <alignment horizontal="right" vertical="center" wrapText="1"/>
    </xf>
    <xf numFmtId="0" fontId="144" fillId="4" borderId="50" xfId="0" applyFont="1" applyFill="1" applyBorder="1" applyAlignment="1">
      <alignment horizontal="left" vertical="center" wrapText="1"/>
    </xf>
    <xf numFmtId="0" fontId="139" fillId="4" borderId="50" xfId="0" applyFont="1" applyFill="1" applyBorder="1" applyAlignment="1">
      <alignment horizontal="left" vertical="center"/>
    </xf>
    <xf numFmtId="43" fontId="18" fillId="4" borderId="50" xfId="77" applyFont="1" applyFill="1" applyBorder="1"/>
    <xf numFmtId="167" fontId="3" fillId="4" borderId="50" xfId="77" applyNumberFormat="1" applyFont="1" applyFill="1" applyBorder="1" applyAlignment="1">
      <alignment horizontal="right" vertical="center"/>
    </xf>
    <xf numFmtId="4" fontId="3" fillId="4" borderId="50" xfId="0" applyNumberFormat="1" applyFont="1" applyFill="1" applyBorder="1" applyAlignment="1">
      <alignment horizontal="right" vertical="center"/>
    </xf>
    <xf numFmtId="3" fontId="3" fillId="4" borderId="50" xfId="0" applyNumberFormat="1" applyFont="1" applyFill="1" applyBorder="1" applyAlignment="1">
      <alignment horizontal="right" vertical="center"/>
    </xf>
    <xf numFmtId="3" fontId="145" fillId="4" borderId="50" xfId="0" applyNumberFormat="1" applyFont="1" applyFill="1" applyBorder="1" applyAlignment="1">
      <alignment horizontal="right" vertical="center"/>
    </xf>
    <xf numFmtId="0" fontId="145" fillId="4" borderId="50" xfId="0" applyFont="1" applyFill="1" applyBorder="1" applyAlignment="1">
      <alignment horizontal="right" vertical="center"/>
    </xf>
    <xf numFmtId="43" fontId="135" fillId="4" borderId="50" xfId="0" applyNumberFormat="1" applyFont="1" applyFill="1" applyBorder="1" applyAlignment="1">
      <alignment horizontal="right" vertical="center"/>
    </xf>
    <xf numFmtId="0" fontId="135" fillId="4" borderId="50" xfId="0" applyFont="1" applyFill="1" applyBorder="1" applyAlignment="1">
      <alignment horizontal="right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139" fillId="4" borderId="50" xfId="0" applyFont="1" applyFill="1" applyBorder="1" applyAlignment="1">
      <alignment horizontal="right" vertical="center" wrapText="1"/>
    </xf>
    <xf numFmtId="3" fontId="139" fillId="4" borderId="50" xfId="0" applyNumberFormat="1" applyFont="1" applyFill="1" applyBorder="1" applyAlignment="1">
      <alignment horizontal="right" vertical="center" wrapText="1"/>
    </xf>
    <xf numFmtId="0" fontId="139" fillId="4" borderId="50" xfId="0" applyFont="1" applyFill="1" applyBorder="1" applyAlignment="1">
      <alignment horizontal="left" vertical="center" wrapText="1"/>
    </xf>
    <xf numFmtId="3" fontId="3" fillId="4" borderId="50" xfId="0" applyNumberFormat="1" applyFont="1" applyFill="1" applyBorder="1" applyAlignment="1">
      <alignment horizontal="right" vertical="center" wrapText="1"/>
    </xf>
    <xf numFmtId="0" fontId="139" fillId="4" borderId="50" xfId="0" applyFont="1" applyFill="1" applyBorder="1" applyAlignment="1">
      <alignment horizontal="center" vertical="center" wrapText="1"/>
    </xf>
    <xf numFmtId="3" fontId="126" fillId="4" borderId="50" xfId="0" applyNumberFormat="1" applyFont="1" applyFill="1" applyBorder="1" applyAlignment="1">
      <alignment horizontal="right" vertical="center" wrapText="1"/>
    </xf>
    <xf numFmtId="0" fontId="126" fillId="4" borderId="50" xfId="0" applyFont="1" applyFill="1" applyBorder="1" applyAlignment="1">
      <alignment horizontal="right" vertical="center" wrapText="1"/>
    </xf>
    <xf numFmtId="0" fontId="44" fillId="4" borderId="1" xfId="0" applyNumberFormat="1" applyFont="1" applyFill="1" applyBorder="1" applyAlignment="1" applyProtection="1">
      <alignment wrapText="1"/>
      <protection locked="0"/>
    </xf>
    <xf numFmtId="0" fontId="146" fillId="4" borderId="1" xfId="0" applyNumberFormat="1" applyFont="1" applyFill="1" applyBorder="1" applyAlignment="1" applyProtection="1">
      <alignment horizontal="left" vertical="top"/>
    </xf>
    <xf numFmtId="0" fontId="44" fillId="0" borderId="0" xfId="0" applyFont="1"/>
    <xf numFmtId="0" fontId="148" fillId="4" borderId="17" xfId="0" applyNumberFormat="1" applyFont="1" applyFill="1" applyBorder="1" applyAlignment="1" applyProtection="1">
      <alignment horizontal="center" vertical="center"/>
    </xf>
    <xf numFmtId="0" fontId="148" fillId="4" borderId="18" xfId="0" applyNumberFormat="1" applyFont="1" applyFill="1" applyBorder="1" applyAlignment="1" applyProtection="1">
      <alignment horizontal="center" vertical="center"/>
    </xf>
    <xf numFmtId="0" fontId="148" fillId="4" borderId="19" xfId="0" applyNumberFormat="1" applyFont="1" applyFill="1" applyBorder="1" applyAlignment="1" applyProtection="1">
      <alignment horizontal="center" vertical="center"/>
    </xf>
    <xf numFmtId="165" fontId="148" fillId="4" borderId="17" xfId="77" applyNumberFormat="1" applyFont="1" applyFill="1" applyBorder="1" applyAlignment="1" applyProtection="1">
      <alignment horizontal="center" vertical="center"/>
    </xf>
    <xf numFmtId="165" fontId="148" fillId="4" borderId="18" xfId="77" applyNumberFormat="1" applyFont="1" applyFill="1" applyBorder="1" applyAlignment="1" applyProtection="1">
      <alignment horizontal="center" vertical="center"/>
    </xf>
    <xf numFmtId="165" fontId="148" fillId="4" borderId="19" xfId="77" applyNumberFormat="1" applyFont="1" applyFill="1" applyBorder="1" applyAlignment="1" applyProtection="1">
      <alignment horizontal="center" vertical="center"/>
    </xf>
    <xf numFmtId="0" fontId="148" fillId="4" borderId="157" xfId="0" applyNumberFormat="1" applyFont="1" applyFill="1" applyBorder="1" applyAlignment="1" applyProtection="1">
      <alignment horizontal="center" vertical="center"/>
    </xf>
    <xf numFmtId="0" fontId="146" fillId="4" borderId="32" xfId="0" applyNumberFormat="1" applyFont="1" applyFill="1" applyBorder="1" applyAlignment="1" applyProtection="1">
      <alignment horizontal="center" vertical="center"/>
    </xf>
    <xf numFmtId="0" fontId="146" fillId="4" borderId="33" xfId="0" applyNumberFormat="1" applyFont="1" applyFill="1" applyBorder="1" applyAlignment="1" applyProtection="1">
      <alignment horizontal="right" vertical="center"/>
    </xf>
    <xf numFmtId="0" fontId="146" fillId="4" borderId="33" xfId="0" applyNumberFormat="1" applyFont="1" applyFill="1" applyBorder="1" applyAlignment="1" applyProtection="1">
      <alignment horizontal="left" vertical="center"/>
    </xf>
    <xf numFmtId="0" fontId="149" fillId="4" borderId="1" xfId="0" applyNumberFormat="1" applyFont="1" applyFill="1" applyBorder="1" applyAlignment="1" applyProtection="1">
      <alignment wrapText="1"/>
      <protection locked="0"/>
    </xf>
    <xf numFmtId="0" fontId="150" fillId="4" borderId="32" xfId="0" applyNumberFormat="1" applyFont="1" applyFill="1" applyBorder="1" applyAlignment="1" applyProtection="1">
      <alignment horizontal="center" vertical="center"/>
    </xf>
    <xf numFmtId="0" fontId="150" fillId="4" borderId="33" xfId="0" applyNumberFormat="1" applyFont="1" applyFill="1" applyBorder="1" applyAlignment="1" applyProtection="1">
      <alignment horizontal="left" vertical="center" wrapText="1"/>
    </xf>
    <xf numFmtId="0" fontId="150" fillId="4" borderId="33" xfId="0" applyNumberFormat="1" applyFont="1" applyFill="1" applyBorder="1" applyAlignment="1" applyProtection="1">
      <alignment horizontal="left" vertical="center"/>
    </xf>
    <xf numFmtId="3" fontId="150" fillId="4" borderId="33" xfId="0" applyNumberFormat="1" applyFont="1" applyFill="1" applyBorder="1" applyAlignment="1" applyProtection="1">
      <alignment horizontal="right" vertical="center"/>
    </xf>
    <xf numFmtId="165" fontId="150" fillId="4" borderId="33" xfId="77" applyNumberFormat="1" applyFont="1" applyFill="1" applyBorder="1" applyAlignment="1" applyProtection="1">
      <alignment horizontal="right" vertical="center"/>
    </xf>
    <xf numFmtId="165" fontId="150" fillId="4" borderId="33" xfId="0" applyNumberFormat="1" applyFont="1" applyFill="1" applyBorder="1" applyAlignment="1" applyProtection="1">
      <alignment horizontal="right" vertical="center"/>
    </xf>
    <xf numFmtId="165" fontId="150" fillId="4" borderId="6" xfId="0" applyNumberFormat="1" applyFont="1" applyFill="1" applyBorder="1" applyAlignment="1" applyProtection="1">
      <alignment horizontal="right" vertical="center" wrapText="1"/>
    </xf>
    <xf numFmtId="0" fontId="149" fillId="0" borderId="0" xfId="0" applyFont="1"/>
    <xf numFmtId="0" fontId="138" fillId="3" borderId="2" xfId="0" applyNumberFormat="1" applyFont="1" applyFill="1" applyBorder="1" applyAlignment="1" applyProtection="1">
      <alignment horizontal="left" vertical="center" wrapText="1"/>
    </xf>
    <xf numFmtId="0" fontId="138" fillId="3" borderId="3" xfId="0" applyNumberFormat="1" applyFont="1" applyFill="1" applyBorder="1" applyAlignment="1" applyProtection="1">
      <alignment horizontal="left" vertical="center" wrapText="1"/>
    </xf>
    <xf numFmtId="0" fontId="138" fillId="3" borderId="41" xfId="0" applyNumberFormat="1" applyFont="1" applyFill="1" applyBorder="1" applyAlignment="1" applyProtection="1">
      <alignment horizontal="left" vertical="center" wrapText="1"/>
    </xf>
    <xf numFmtId="0" fontId="138" fillId="3" borderId="42" xfId="0" applyNumberFormat="1" applyFont="1" applyFill="1" applyBorder="1" applyAlignment="1" applyProtection="1">
      <alignment horizontal="left" vertical="center" wrapText="1"/>
    </xf>
    <xf numFmtId="0" fontId="2" fillId="3" borderId="155" xfId="0" applyNumberFormat="1" applyFont="1" applyFill="1" applyBorder="1" applyAlignment="1" applyProtection="1">
      <alignment horizontal="center" vertical="center" wrapText="1"/>
    </xf>
    <xf numFmtId="0" fontId="2" fillId="3" borderId="154" xfId="0" applyNumberFormat="1" applyFont="1" applyFill="1" applyBorder="1" applyAlignment="1" applyProtection="1">
      <alignment horizontal="center" vertical="center" wrapText="1"/>
    </xf>
    <xf numFmtId="0" fontId="134" fillId="4" borderId="17" xfId="0" applyNumberFormat="1" applyFont="1" applyFill="1" applyBorder="1" applyAlignment="1" applyProtection="1">
      <alignment horizontal="center" vertical="center"/>
    </xf>
    <xf numFmtId="0" fontId="134" fillId="4" borderId="18" xfId="0" applyNumberFormat="1" applyFont="1" applyFill="1" applyBorder="1" applyAlignment="1" applyProtection="1">
      <alignment horizontal="center" vertical="center"/>
    </xf>
    <xf numFmtId="0" fontId="134" fillId="4" borderId="19" xfId="0" applyNumberFormat="1" applyFont="1" applyFill="1" applyBorder="1" applyAlignment="1" applyProtection="1">
      <alignment horizontal="center" vertical="center"/>
    </xf>
    <xf numFmtId="0" fontId="139" fillId="4" borderId="32" xfId="0" applyNumberFormat="1" applyFont="1" applyFill="1" applyBorder="1" applyAlignment="1" applyProtection="1">
      <alignment horizontal="center" vertical="center"/>
    </xf>
    <xf numFmtId="0" fontId="3" fillId="4" borderId="33" xfId="0" applyNumberFormat="1" applyFont="1" applyFill="1" applyBorder="1" applyAlignment="1" applyProtection="1">
      <alignment horizontal="left" vertical="center" wrapText="1"/>
    </xf>
    <xf numFmtId="0" fontId="139" fillId="4" borderId="33" xfId="0" applyNumberFormat="1" applyFont="1" applyFill="1" applyBorder="1" applyAlignment="1" applyProtection="1">
      <alignment horizontal="left" vertical="center"/>
    </xf>
    <xf numFmtId="3" fontId="139" fillId="4" borderId="33" xfId="0" applyNumberFormat="1" applyFont="1" applyFill="1" applyBorder="1" applyAlignment="1" applyProtection="1">
      <alignment horizontal="right" vertical="center"/>
    </xf>
    <xf numFmtId="193" fontId="139" fillId="4" borderId="33" xfId="0" applyNumberFormat="1" applyFont="1" applyFill="1" applyBorder="1" applyAlignment="1" applyProtection="1">
      <alignment horizontal="right" vertical="center"/>
    </xf>
    <xf numFmtId="193" fontId="139" fillId="4" borderId="33" xfId="333" applyNumberFormat="1" applyFont="1" applyFill="1" applyBorder="1" applyAlignment="1" applyProtection="1">
      <alignment horizontal="right" vertical="center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139" fillId="5" borderId="32" xfId="0" applyNumberFormat="1" applyFont="1" applyFill="1" applyBorder="1" applyAlignment="1" applyProtection="1">
      <alignment horizontal="center" vertical="center"/>
    </xf>
    <xf numFmtId="0" fontId="3" fillId="5" borderId="33" xfId="0" applyNumberFormat="1" applyFont="1" applyFill="1" applyBorder="1" applyAlignment="1" applyProtection="1">
      <alignment horizontal="left" vertical="center" wrapText="1"/>
    </xf>
    <xf numFmtId="0" fontId="139" fillId="5" borderId="33" xfId="0" applyNumberFormat="1" applyFont="1" applyFill="1" applyBorder="1" applyAlignment="1" applyProtection="1">
      <alignment horizontal="left" vertical="center"/>
    </xf>
    <xf numFmtId="3" fontId="139" fillId="5" borderId="33" xfId="0" applyNumberFormat="1" applyFont="1" applyFill="1" applyBorder="1" applyAlignment="1" applyProtection="1">
      <alignment horizontal="right" vertical="center"/>
    </xf>
    <xf numFmtId="193" fontId="139" fillId="5" borderId="33" xfId="0" applyNumberFormat="1" applyFont="1" applyFill="1" applyBorder="1" applyAlignment="1" applyProtection="1">
      <alignment horizontal="right" vertical="center"/>
    </xf>
    <xf numFmtId="0" fontId="0" fillId="5" borderId="0" xfId="0" applyFill="1"/>
    <xf numFmtId="170" fontId="139" fillId="4" borderId="33" xfId="0" applyNumberFormat="1" applyFont="1" applyFill="1" applyBorder="1" applyAlignment="1" applyProtection="1">
      <alignment horizontal="right" vertical="center"/>
    </xf>
    <xf numFmtId="0" fontId="139" fillId="4" borderId="190" xfId="0" applyNumberFormat="1" applyFont="1" applyFill="1" applyBorder="1" applyAlignment="1" applyProtection="1">
      <alignment horizontal="center" vertical="center"/>
    </xf>
    <xf numFmtId="0" fontId="3" fillId="4" borderId="165" xfId="0" applyNumberFormat="1" applyFont="1" applyFill="1" applyBorder="1" applyAlignment="1" applyProtection="1">
      <alignment horizontal="left" vertical="center" wrapText="1"/>
    </xf>
    <xf numFmtId="0" fontId="139" fillId="4" borderId="165" xfId="0" applyNumberFormat="1" applyFont="1" applyFill="1" applyBorder="1" applyAlignment="1" applyProtection="1">
      <alignment horizontal="left" vertical="center"/>
    </xf>
    <xf numFmtId="3" fontId="139" fillId="4" borderId="165" xfId="0" applyNumberFormat="1" applyFont="1" applyFill="1" applyBorder="1" applyAlignment="1" applyProtection="1">
      <alignment horizontal="right" vertical="center"/>
    </xf>
    <xf numFmtId="193" fontId="139" fillId="4" borderId="165" xfId="0" applyNumberFormat="1" applyFont="1" applyFill="1" applyBorder="1" applyAlignment="1" applyProtection="1">
      <alignment horizontal="right" vertical="center"/>
    </xf>
    <xf numFmtId="193" fontId="139" fillId="4" borderId="165" xfId="333" applyNumberFormat="1" applyFont="1" applyFill="1" applyBorder="1" applyAlignment="1" applyProtection="1">
      <alignment horizontal="right" vertical="center"/>
    </xf>
    <xf numFmtId="41" fontId="151" fillId="4" borderId="17" xfId="0" applyNumberFormat="1" applyFont="1" applyFill="1" applyBorder="1" applyAlignment="1" applyProtection="1">
      <alignment horizontal="right" vertical="center"/>
    </xf>
    <xf numFmtId="193" fontId="134" fillId="4" borderId="17" xfId="0" applyNumberFormat="1" applyFont="1" applyFill="1" applyBorder="1" applyAlignment="1" applyProtection="1">
      <alignment horizontal="center" vertical="center"/>
    </xf>
    <xf numFmtId="193" fontId="134" fillId="4" borderId="18" xfId="0" applyNumberFormat="1" applyFont="1" applyFill="1" applyBorder="1" applyAlignment="1" applyProtection="1">
      <alignment horizontal="center" vertical="center"/>
    </xf>
    <xf numFmtId="193" fontId="134" fillId="4" borderId="19" xfId="0" applyNumberFormat="1" applyFont="1" applyFill="1" applyBorder="1" applyAlignment="1" applyProtection="1">
      <alignment horizontal="center" vertical="center"/>
    </xf>
    <xf numFmtId="0" fontId="28" fillId="2" borderId="191" xfId="0" applyNumberFormat="1" applyFont="1" applyFill="1" applyBorder="1" applyAlignment="1" applyProtection="1">
      <alignment horizontal="center" vertical="center"/>
    </xf>
    <xf numFmtId="0" fontId="28" fillId="2" borderId="52" xfId="0" applyNumberFormat="1" applyFont="1" applyFill="1" applyBorder="1" applyAlignment="1" applyProtection="1">
      <alignment horizontal="left" vertical="center"/>
    </xf>
    <xf numFmtId="165" fontId="28" fillId="4" borderId="50" xfId="77" applyNumberFormat="1" applyFont="1" applyFill="1" applyBorder="1" applyAlignment="1" applyProtection="1">
      <alignment horizontal="center" vertical="center"/>
    </xf>
    <xf numFmtId="0" fontId="129" fillId="0" borderId="0" xfId="0" applyFont="1"/>
    <xf numFmtId="0" fontId="79" fillId="7" borderId="33" xfId="0" applyNumberFormat="1" applyFont="1" applyFill="1" applyBorder="1" applyAlignment="1" applyProtection="1">
      <alignment horizontal="left" vertical="center" wrapText="1"/>
    </xf>
    <xf numFmtId="4" fontId="79" fillId="7" borderId="33" xfId="0" applyNumberFormat="1" applyFont="1" applyFill="1" applyBorder="1" applyAlignment="1" applyProtection="1">
      <alignment horizontal="right" vertical="center"/>
    </xf>
    <xf numFmtId="3" fontId="79" fillId="7" borderId="25" xfId="0" applyNumberFormat="1" applyFont="1" applyFill="1" applyBorder="1" applyAlignment="1" applyProtection="1">
      <alignment horizontal="right" vertical="center"/>
    </xf>
    <xf numFmtId="3" fontId="79" fillId="7" borderId="26" xfId="0" applyNumberFormat="1" applyFont="1" applyFill="1" applyBorder="1" applyAlignment="1" applyProtection="1">
      <alignment horizontal="right" vertical="center"/>
    </xf>
    <xf numFmtId="0" fontId="124" fillId="7" borderId="9" xfId="0" applyNumberFormat="1" applyFont="1" applyFill="1" applyBorder="1" applyAlignment="1" applyProtection="1">
      <alignment horizontal="center" vertical="center" wrapText="1"/>
    </xf>
    <xf numFmtId="0" fontId="124" fillId="7" borderId="10" xfId="0" applyNumberFormat="1" applyFont="1" applyFill="1" applyBorder="1" applyAlignment="1" applyProtection="1">
      <alignment horizontal="center" vertical="center" wrapText="1"/>
    </xf>
    <xf numFmtId="0" fontId="124" fillId="7" borderId="11" xfId="0" applyNumberFormat="1" applyFont="1" applyFill="1" applyBorder="1" applyAlignment="1" applyProtection="1">
      <alignment horizontal="center" vertical="center" wrapText="1"/>
    </xf>
    <xf numFmtId="0" fontId="124" fillId="7" borderId="12" xfId="0" applyNumberFormat="1" applyFont="1" applyFill="1" applyBorder="1" applyAlignment="1" applyProtection="1">
      <alignment horizontal="center" vertical="center" wrapText="1"/>
    </xf>
    <xf numFmtId="0" fontId="124" fillId="7" borderId="13" xfId="0" applyNumberFormat="1" applyFont="1" applyFill="1" applyBorder="1" applyAlignment="1" applyProtection="1">
      <alignment horizontal="center" vertical="center" wrapText="1"/>
    </xf>
    <xf numFmtId="0" fontId="124" fillId="7" borderId="14" xfId="0" applyNumberFormat="1" applyFont="1" applyFill="1" applyBorder="1" applyAlignment="1" applyProtection="1">
      <alignment horizontal="center" vertical="center"/>
    </xf>
    <xf numFmtId="0" fontId="124" fillId="7" borderId="15" xfId="0" applyNumberFormat="1" applyFont="1" applyFill="1" applyBorder="1" applyAlignment="1" applyProtection="1">
      <alignment horizontal="center" vertical="center"/>
    </xf>
    <xf numFmtId="0" fontId="79" fillId="7" borderId="35" xfId="0" applyNumberFormat="1" applyFont="1" applyFill="1" applyBorder="1" applyAlignment="1" applyProtection="1">
      <alignment horizontal="center" vertical="center"/>
    </xf>
    <xf numFmtId="0" fontId="79" fillId="7" borderId="35" xfId="0" applyNumberFormat="1" applyFont="1" applyFill="1" applyBorder="1" applyAlignment="1" applyProtection="1">
      <alignment horizontal="right" vertical="center"/>
    </xf>
    <xf numFmtId="0" fontId="49" fillId="7" borderId="35" xfId="0" applyNumberFormat="1" applyFont="1" applyFill="1" applyBorder="1" applyAlignment="1" applyProtection="1">
      <alignment horizontal="right" vertical="center"/>
    </xf>
    <xf numFmtId="0" fontId="49" fillId="7" borderId="36" xfId="0" applyNumberFormat="1" applyFont="1" applyFill="1" applyBorder="1" applyAlignment="1" applyProtection="1">
      <alignment horizontal="right" vertical="center"/>
    </xf>
    <xf numFmtId="0" fontId="79" fillId="7" borderId="25" xfId="0" applyNumberFormat="1" applyFont="1" applyFill="1" applyBorder="1" applyAlignment="1" applyProtection="1">
      <alignment horizontal="left" vertical="center" wrapText="1"/>
    </xf>
    <xf numFmtId="3" fontId="79" fillId="7" borderId="33" xfId="0" applyNumberFormat="1" applyFont="1" applyFill="1" applyBorder="1" applyAlignment="1" applyProtection="1">
      <alignment horizontal="right" vertical="center"/>
    </xf>
    <xf numFmtId="167" fontId="79" fillId="7" borderId="26" xfId="78" applyNumberFormat="1" applyFont="1" applyFill="1" applyBorder="1" applyAlignment="1" applyProtection="1">
      <alignment horizontal="right" vertical="center"/>
    </xf>
    <xf numFmtId="43" fontId="29" fillId="4" borderId="1" xfId="77" applyNumberFormat="1" applyFont="1"/>
    <xf numFmtId="165" fontId="28" fillId="3" borderId="44" xfId="77" applyNumberFormat="1" applyFont="1" applyFill="1" applyBorder="1" applyAlignment="1" applyProtection="1">
      <alignment horizontal="right" vertical="center"/>
    </xf>
    <xf numFmtId="165" fontId="28" fillId="3" borderId="9" xfId="77" applyNumberFormat="1" applyFont="1" applyFill="1" applyBorder="1" applyAlignment="1" applyProtection="1">
      <alignment horizontal="center" vertical="center" wrapText="1"/>
    </xf>
    <xf numFmtId="165" fontId="28" fillId="3" borderId="10" xfId="77" applyNumberFormat="1" applyFont="1" applyFill="1" applyBorder="1" applyAlignment="1" applyProtection="1">
      <alignment horizontal="center" vertical="center" wrapText="1"/>
    </xf>
    <xf numFmtId="165" fontId="124" fillId="5" borderId="52" xfId="78" applyNumberFormat="1" applyFont="1" applyFill="1" applyBorder="1" applyAlignment="1" applyProtection="1">
      <alignment horizontal="right" vertical="center"/>
    </xf>
    <xf numFmtId="165" fontId="124" fillId="5" borderId="50" xfId="78" applyNumberFormat="1" applyFont="1" applyFill="1" applyBorder="1" applyAlignment="1" applyProtection="1">
      <alignment horizontal="right" vertical="center"/>
    </xf>
    <xf numFmtId="167" fontId="28" fillId="7" borderId="6" xfId="77" applyNumberFormat="1" applyFont="1" applyFill="1" applyBorder="1" applyAlignment="1" applyProtection="1">
      <alignment horizontal="right" vertical="center"/>
    </xf>
    <xf numFmtId="167" fontId="28" fillId="7" borderId="6" xfId="78" applyNumberFormat="1" applyFont="1" applyFill="1" applyBorder="1" applyAlignment="1" applyProtection="1">
      <alignment horizontal="right" vertical="center"/>
    </xf>
    <xf numFmtId="165" fontId="28" fillId="5" borderId="33" xfId="77" applyNumberFormat="1" applyFont="1" applyFill="1" applyBorder="1" applyAlignment="1" applyProtection="1">
      <alignment horizontal="right" vertical="center"/>
    </xf>
    <xf numFmtId="166" fontId="75" fillId="4" borderId="6" xfId="0" applyNumberFormat="1" applyFont="1" applyFill="1" applyBorder="1" applyAlignment="1" applyProtection="1">
      <alignment horizontal="right" vertical="center"/>
    </xf>
    <xf numFmtId="4" fontId="26" fillId="2" borderId="33" xfId="0" applyNumberFormat="1" applyFont="1" applyFill="1" applyBorder="1" applyAlignment="1" applyProtection="1">
      <alignment horizontal="right" vertical="center"/>
    </xf>
    <xf numFmtId="4" fontId="28" fillId="0" borderId="33" xfId="0" applyNumberFormat="1" applyFont="1" applyFill="1" applyBorder="1" applyAlignment="1" applyProtection="1">
      <alignment horizontal="right" vertical="center"/>
    </xf>
    <xf numFmtId="4" fontId="28" fillId="2" borderId="33" xfId="0" applyNumberFormat="1" applyFont="1" applyFill="1" applyBorder="1" applyAlignment="1" applyProtection="1">
      <alignment horizontal="right" vertical="center"/>
    </xf>
    <xf numFmtId="167" fontId="28" fillId="2" borderId="33" xfId="78" applyNumberFormat="1" applyFont="1" applyFill="1" applyBorder="1" applyAlignment="1" applyProtection="1">
      <alignment horizontal="right" vertical="center"/>
    </xf>
    <xf numFmtId="167" fontId="34" fillId="2" borderId="25" xfId="78" applyNumberFormat="1" applyFont="1" applyFill="1" applyBorder="1" applyAlignment="1" applyProtection="1">
      <alignment horizontal="right" vertical="center"/>
    </xf>
    <xf numFmtId="43" fontId="75" fillId="4" borderId="6" xfId="78" applyNumberFormat="1" applyFont="1" applyFill="1" applyBorder="1" applyAlignment="1" applyProtection="1">
      <alignment horizontal="right" vertical="center"/>
    </xf>
    <xf numFmtId="0" fontId="7" fillId="4" borderId="1" xfId="0" applyNumberFormat="1" applyFont="1" applyFill="1" applyBorder="1" applyAlignment="1" applyProtection="1">
      <alignment horizontal="left" vertical="top"/>
    </xf>
    <xf numFmtId="0" fontId="10" fillId="4" borderId="8" xfId="0" applyNumberFormat="1" applyFont="1" applyFill="1" applyBorder="1" applyAlignment="1" applyProtection="1">
      <alignment horizontal="center" vertical="center"/>
    </xf>
    <xf numFmtId="165" fontId="75" fillId="0" borderId="0" xfId="78" applyNumberFormat="1" applyFont="1"/>
    <xf numFmtId="0" fontId="141" fillId="4" borderId="17" xfId="0" applyNumberFormat="1" applyFont="1" applyFill="1" applyBorder="1" applyAlignment="1" applyProtection="1">
      <alignment horizontal="center" vertical="center"/>
    </xf>
    <xf numFmtId="0" fontId="141" fillId="4" borderId="18" xfId="0" applyNumberFormat="1" applyFont="1" applyFill="1" applyBorder="1" applyAlignment="1" applyProtection="1">
      <alignment horizontal="center" vertical="center"/>
    </xf>
    <xf numFmtId="0" fontId="141" fillId="4" borderId="19" xfId="0" applyNumberFormat="1" applyFont="1" applyFill="1" applyBorder="1" applyAlignment="1" applyProtection="1">
      <alignment horizontal="center" vertical="center"/>
    </xf>
    <xf numFmtId="0" fontId="141" fillId="4" borderId="194" xfId="0" applyNumberFormat="1" applyFont="1" applyFill="1" applyBorder="1" applyAlignment="1" applyProtection="1">
      <alignment horizontal="center" vertical="center"/>
    </xf>
    <xf numFmtId="0" fontId="142" fillId="4" borderId="60" xfId="0" applyNumberFormat="1" applyFont="1" applyFill="1" applyBorder="1" applyAlignment="1" applyProtection="1">
      <alignment horizontal="center" vertical="center"/>
    </xf>
    <xf numFmtId="0" fontId="142" fillId="4" borderId="33" xfId="0" applyNumberFormat="1" applyFont="1" applyFill="1" applyBorder="1" applyAlignment="1" applyProtection="1">
      <alignment horizontal="left" vertical="center" wrapText="1"/>
    </xf>
    <xf numFmtId="3" fontId="142" fillId="4" borderId="33" xfId="0" applyNumberFormat="1" applyFont="1" applyFill="1" applyBorder="1" applyAlignment="1" applyProtection="1">
      <alignment horizontal="right" vertical="center"/>
    </xf>
    <xf numFmtId="3" fontId="142" fillId="5" borderId="175" xfId="0" applyNumberFormat="1" applyFont="1" applyFill="1" applyBorder="1" applyAlignment="1" applyProtection="1">
      <alignment horizontal="right" vertical="center"/>
    </xf>
    <xf numFmtId="3" fontId="142" fillId="5" borderId="33" xfId="0" applyNumberFormat="1" applyFont="1" applyFill="1" applyBorder="1" applyAlignment="1" applyProtection="1">
      <alignment horizontal="right" vertical="center"/>
    </xf>
    <xf numFmtId="1" fontId="142" fillId="5" borderId="33" xfId="0" applyNumberFormat="1" applyFont="1" applyFill="1" applyBorder="1" applyAlignment="1" applyProtection="1">
      <alignment horizontal="right" vertical="center"/>
    </xf>
    <xf numFmtId="1" fontId="142" fillId="5" borderId="61" xfId="0" applyNumberFormat="1" applyFont="1" applyFill="1" applyBorder="1" applyAlignment="1" applyProtection="1">
      <alignment horizontal="right" vertical="center" wrapText="1"/>
    </xf>
    <xf numFmtId="0" fontId="142" fillId="5" borderId="175" xfId="0" applyNumberFormat="1" applyFont="1" applyFill="1" applyBorder="1" applyAlignment="1" applyProtection="1">
      <alignment horizontal="right" vertical="center"/>
    </xf>
    <xf numFmtId="0" fontId="142" fillId="2" borderId="60" xfId="0" applyNumberFormat="1" applyFont="1" applyFill="1" applyBorder="1" applyAlignment="1" applyProtection="1">
      <alignment horizontal="center" vertical="center"/>
    </xf>
    <xf numFmtId="0" fontId="142" fillId="2" borderId="33" xfId="0" applyNumberFormat="1" applyFont="1" applyFill="1" applyBorder="1" applyAlignment="1" applyProtection="1">
      <alignment horizontal="left" vertical="center" wrapText="1"/>
    </xf>
    <xf numFmtId="0" fontId="142" fillId="4" borderId="33" xfId="0" applyNumberFormat="1" applyFont="1" applyFill="1" applyBorder="1" applyAlignment="1" applyProtection="1">
      <alignment horizontal="left" vertical="center"/>
    </xf>
    <xf numFmtId="4" fontId="3" fillId="5" borderId="33" xfId="0" applyNumberFormat="1" applyFont="1" applyFill="1" applyBorder="1" applyAlignment="1" applyProtection="1">
      <alignment horizontal="right" vertical="center"/>
    </xf>
    <xf numFmtId="0" fontId="142" fillId="5" borderId="33" xfId="0" applyNumberFormat="1" applyFont="1" applyFill="1" applyBorder="1" applyAlignment="1" applyProtection="1">
      <alignment horizontal="right" vertical="center"/>
    </xf>
    <xf numFmtId="3" fontId="3" fillId="5" borderId="33" xfId="0" applyNumberFormat="1" applyFont="1" applyFill="1" applyBorder="1" applyAlignment="1" applyProtection="1">
      <alignment horizontal="right" vertical="center"/>
    </xf>
    <xf numFmtId="169" fontId="142" fillId="5" borderId="33" xfId="0" applyNumberFormat="1" applyFont="1" applyFill="1" applyBorder="1" applyAlignment="1" applyProtection="1">
      <alignment horizontal="right" vertical="center"/>
    </xf>
    <xf numFmtId="0" fontId="152" fillId="4" borderId="33" xfId="0" applyNumberFormat="1" applyFont="1" applyFill="1" applyBorder="1" applyAlignment="1" applyProtection="1">
      <alignment horizontal="left" vertical="center" wrapText="1"/>
    </xf>
    <xf numFmtId="3" fontId="152" fillId="4" borderId="33" xfId="0" applyNumberFormat="1" applyFont="1" applyFill="1" applyBorder="1" applyAlignment="1" applyProtection="1">
      <alignment horizontal="right" vertical="center"/>
    </xf>
    <xf numFmtId="0" fontId="153" fillId="4" borderId="198" xfId="0" applyNumberFormat="1" applyFont="1" applyFill="1" applyBorder="1" applyAlignment="1" applyProtection="1">
      <alignment horizontal="center" vertical="center" wrapText="1"/>
    </xf>
    <xf numFmtId="0" fontId="153" fillId="4" borderId="199" xfId="0" applyNumberFormat="1" applyFont="1" applyFill="1" applyBorder="1" applyAlignment="1" applyProtection="1">
      <alignment horizontal="center" vertical="center" wrapText="1"/>
    </xf>
    <xf numFmtId="0" fontId="69" fillId="4" borderId="200" xfId="0" applyNumberFormat="1" applyFont="1" applyFill="1" applyBorder="1" applyAlignment="1" applyProtection="1">
      <alignment horizontal="center" vertical="center"/>
    </xf>
    <xf numFmtId="0" fontId="69" fillId="4" borderId="201" xfId="0" applyNumberFormat="1" applyFont="1" applyFill="1" applyBorder="1" applyAlignment="1" applyProtection="1">
      <alignment horizontal="center" vertical="center"/>
    </xf>
    <xf numFmtId="0" fontId="69" fillId="4" borderId="201" xfId="0" applyNumberFormat="1" applyFont="1" applyFill="1" applyBorder="1" applyAlignment="1" applyProtection="1">
      <alignment horizontal="left" vertical="center" wrapText="1"/>
    </xf>
    <xf numFmtId="0" fontId="69" fillId="4" borderId="201" xfId="0" applyNumberFormat="1" applyFont="1" applyFill="1" applyBorder="1" applyAlignment="1" applyProtection="1">
      <alignment horizontal="left" vertical="center"/>
    </xf>
    <xf numFmtId="0" fontId="69" fillId="5" borderId="201" xfId="0" applyNumberFormat="1" applyFont="1" applyFill="1" applyBorder="1" applyAlignment="1" applyProtection="1">
      <alignment horizontal="right" vertical="center"/>
    </xf>
    <xf numFmtId="3" fontId="69" fillId="5" borderId="201" xfId="0" applyNumberFormat="1" applyFont="1" applyFill="1" applyBorder="1" applyAlignment="1" applyProtection="1">
      <alignment horizontal="right" vertical="center"/>
    </xf>
    <xf numFmtId="3" fontId="69" fillId="5" borderId="77" xfId="0" applyNumberFormat="1" applyFont="1" applyFill="1" applyBorder="1" applyAlignment="1" applyProtection="1">
      <alignment horizontal="right" vertical="center"/>
    </xf>
    <xf numFmtId="0" fontId="69" fillId="4" borderId="60" xfId="0" applyNumberFormat="1" applyFont="1" applyFill="1" applyBorder="1" applyAlignment="1" applyProtection="1">
      <alignment horizontal="center" vertical="center"/>
    </xf>
    <xf numFmtId="0" fontId="69" fillId="4" borderId="33" xfId="0" applyNumberFormat="1" applyFont="1" applyFill="1" applyBorder="1" applyAlignment="1" applyProtection="1">
      <alignment horizontal="center" vertical="center"/>
    </xf>
    <xf numFmtId="0" fontId="69" fillId="4" borderId="33" xfId="0" applyNumberFormat="1" applyFont="1" applyFill="1" applyBorder="1" applyAlignment="1" applyProtection="1">
      <alignment horizontal="left" vertical="center" wrapText="1"/>
    </xf>
    <xf numFmtId="0" fontId="69" fillId="4" borderId="33" xfId="0" applyNumberFormat="1" applyFont="1" applyFill="1" applyBorder="1" applyAlignment="1" applyProtection="1">
      <alignment horizontal="left" vertical="center"/>
    </xf>
    <xf numFmtId="0" fontId="69" fillId="5" borderId="33" xfId="0" applyNumberFormat="1" applyFont="1" applyFill="1" applyBorder="1" applyAlignment="1" applyProtection="1">
      <alignment horizontal="right" vertical="center"/>
    </xf>
    <xf numFmtId="3" fontId="69" fillId="5" borderId="33" xfId="0" applyNumberFormat="1" applyFont="1" applyFill="1" applyBorder="1" applyAlignment="1" applyProtection="1">
      <alignment horizontal="right" vertical="center"/>
    </xf>
    <xf numFmtId="3" fontId="69" fillId="5" borderId="61" xfId="0" applyNumberFormat="1" applyFont="1" applyFill="1" applyBorder="1" applyAlignment="1" applyProtection="1">
      <alignment horizontal="right" vertical="center"/>
    </xf>
    <xf numFmtId="0" fontId="69" fillId="2" borderId="60" xfId="0" applyNumberFormat="1" applyFont="1" applyFill="1" applyBorder="1" applyAlignment="1" applyProtection="1">
      <alignment horizontal="center" vertical="center"/>
    </xf>
    <xf numFmtId="0" fontId="69" fillId="2" borderId="33" xfId="0" applyNumberFormat="1" applyFont="1" applyFill="1" applyBorder="1" applyAlignment="1" applyProtection="1">
      <alignment horizontal="left" vertical="center" wrapText="1"/>
    </xf>
    <xf numFmtId="0" fontId="69" fillId="2" borderId="53" xfId="0" applyNumberFormat="1" applyFont="1" applyFill="1" applyBorder="1" applyAlignment="1" applyProtection="1">
      <alignment horizontal="center" vertical="center"/>
    </xf>
    <xf numFmtId="0" fontId="69" fillId="4" borderId="53" xfId="0" applyNumberFormat="1" applyFont="1" applyFill="1" applyBorder="1" applyAlignment="1" applyProtection="1">
      <alignment horizontal="left" vertical="center" wrapText="1"/>
    </xf>
    <xf numFmtId="3" fontId="69" fillId="5" borderId="49" xfId="0" applyNumberFormat="1" applyFont="1" applyFill="1" applyBorder="1" applyAlignment="1" applyProtection="1">
      <alignment vertical="center"/>
    </xf>
    <xf numFmtId="3" fontId="69" fillId="5" borderId="53" xfId="0" applyNumberFormat="1" applyFont="1" applyFill="1" applyBorder="1" applyAlignment="1" applyProtection="1">
      <alignment vertical="center"/>
    </xf>
    <xf numFmtId="3" fontId="69" fillId="5" borderId="49" xfId="0" applyNumberFormat="1" applyFont="1" applyFill="1" applyBorder="1" applyAlignment="1" applyProtection="1">
      <alignment horizontal="center" vertical="center"/>
    </xf>
    <xf numFmtId="3" fontId="69" fillId="5" borderId="61" xfId="0" applyNumberFormat="1" applyFont="1" applyFill="1" applyBorder="1" applyAlignment="1" applyProtection="1">
      <alignment horizontal="center" vertical="center"/>
    </xf>
    <xf numFmtId="0" fontId="69" fillId="4" borderId="72" xfId="0" applyNumberFormat="1" applyFont="1" applyFill="1" applyBorder="1" applyAlignment="1" applyProtection="1">
      <alignment horizontal="center" vertical="center"/>
    </xf>
    <xf numFmtId="0" fontId="69" fillId="4" borderId="73" xfId="0" applyNumberFormat="1" applyFont="1" applyFill="1" applyBorder="1" applyAlignment="1" applyProtection="1">
      <alignment horizontal="center" vertical="center"/>
    </xf>
    <xf numFmtId="0" fontId="69" fillId="4" borderId="73" xfId="0" applyNumberFormat="1" applyFont="1" applyFill="1" applyBorder="1" applyAlignment="1" applyProtection="1">
      <alignment horizontal="left" vertical="center" wrapText="1"/>
    </xf>
    <xf numFmtId="0" fontId="69" fillId="4" borderId="73" xfId="0" applyNumberFormat="1" applyFont="1" applyFill="1" applyBorder="1" applyAlignment="1" applyProtection="1">
      <alignment horizontal="left" vertical="center"/>
    </xf>
    <xf numFmtId="0" fontId="69" fillId="5" borderId="73" xfId="0" applyNumberFormat="1" applyFont="1" applyFill="1" applyBorder="1" applyAlignment="1" applyProtection="1">
      <alignment horizontal="right" vertical="center"/>
    </xf>
    <xf numFmtId="3" fontId="69" fillId="5" borderId="73" xfId="0" applyNumberFormat="1" applyFont="1" applyFill="1" applyBorder="1" applyAlignment="1" applyProtection="1">
      <alignment horizontal="right" vertical="center"/>
    </xf>
    <xf numFmtId="3" fontId="69" fillId="5" borderId="74" xfId="0" applyNumberFormat="1" applyFont="1" applyFill="1" applyBorder="1" applyAlignment="1" applyProtection="1">
      <alignment horizontal="right" vertical="center"/>
    </xf>
    <xf numFmtId="0" fontId="12" fillId="4" borderId="1" xfId="0" applyNumberFormat="1" applyFont="1" applyFill="1" applyBorder="1" applyAlignment="1" applyProtection="1">
      <alignment horizontal="center" vertical="center"/>
    </xf>
    <xf numFmtId="0" fontId="12" fillId="4" borderId="1" xfId="0" applyNumberFormat="1" applyFont="1" applyFill="1" applyBorder="1" applyAlignment="1" applyProtection="1">
      <alignment horizontal="left" vertical="center" wrapText="1"/>
    </xf>
    <xf numFmtId="0" fontId="12" fillId="4" borderId="1" xfId="0" applyNumberFormat="1" applyFont="1" applyFill="1" applyBorder="1" applyAlignment="1" applyProtection="1">
      <alignment horizontal="left" vertical="center"/>
    </xf>
    <xf numFmtId="0" fontId="12" fillId="4" borderId="1" xfId="0" applyNumberFormat="1" applyFont="1" applyFill="1" applyBorder="1" applyAlignment="1" applyProtection="1">
      <alignment horizontal="right" vertical="center"/>
    </xf>
    <xf numFmtId="3" fontId="12" fillId="4" borderId="1" xfId="0" applyNumberFormat="1" applyFont="1" applyFill="1" applyBorder="1" applyAlignment="1" applyProtection="1">
      <alignment horizontal="right" vertical="center"/>
    </xf>
    <xf numFmtId="3" fontId="12" fillId="4" borderId="1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2" fillId="3" borderId="5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top"/>
    </xf>
    <xf numFmtId="0" fontId="12" fillId="4" borderId="33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41" fillId="4" borderId="209" xfId="0" applyNumberFormat="1" applyFont="1" applyFill="1" applyBorder="1" applyAlignment="1" applyProtection="1">
      <alignment horizontal="center" vertical="center" wrapText="1"/>
    </xf>
    <xf numFmtId="0" fontId="141" fillId="4" borderId="86" xfId="0" applyNumberFormat="1" applyFont="1" applyFill="1" applyBorder="1" applyAlignment="1" applyProtection="1">
      <alignment horizontal="center" vertical="center" wrapText="1"/>
    </xf>
    <xf numFmtId="0" fontId="141" fillId="4" borderId="86" xfId="0" applyNumberFormat="1" applyFont="1" applyFill="1" applyBorder="1" applyAlignment="1" applyProtection="1">
      <alignment horizontal="center" vertical="center"/>
    </xf>
    <xf numFmtId="165" fontId="141" fillId="4" borderId="86" xfId="77" applyNumberFormat="1" applyFont="1" applyFill="1" applyBorder="1" applyAlignment="1" applyProtection="1">
      <alignment horizontal="center" vertical="center"/>
    </xf>
    <xf numFmtId="0" fontId="141" fillId="5" borderId="86" xfId="0" applyNumberFormat="1" applyFont="1" applyFill="1" applyBorder="1" applyAlignment="1" applyProtection="1">
      <alignment horizontal="center" vertical="center"/>
    </xf>
    <xf numFmtId="1" fontId="142" fillId="5" borderId="1" xfId="0" applyNumberFormat="1" applyFont="1" applyFill="1" applyBorder="1" applyAlignment="1" applyProtection="1">
      <alignment horizontal="right" vertical="center"/>
    </xf>
    <xf numFmtId="0" fontId="141" fillId="5" borderId="210" xfId="0" applyNumberFormat="1" applyFont="1" applyFill="1" applyBorder="1" applyAlignment="1" applyProtection="1">
      <alignment horizontal="center" vertical="center"/>
    </xf>
    <xf numFmtId="165" fontId="141" fillId="5" borderId="86" xfId="78" applyNumberFormat="1" applyFont="1" applyFill="1" applyBorder="1" applyAlignment="1" applyProtection="1">
      <alignment horizontal="center" vertical="center"/>
    </xf>
    <xf numFmtId="165" fontId="41" fillId="0" borderId="0" xfId="78" applyNumberFormat="1" applyFont="1"/>
    <xf numFmtId="0" fontId="155" fillId="4" borderId="1" xfId="102" applyNumberFormat="1" applyFont="1" applyFill="1" applyBorder="1" applyAlignment="1" applyProtection="1">
      <alignment wrapText="1"/>
      <protection locked="0"/>
    </xf>
    <xf numFmtId="0" fontId="132" fillId="3" borderId="154" xfId="102" applyNumberFormat="1" applyFont="1" applyFill="1" applyBorder="1" applyAlignment="1" applyProtection="1">
      <alignment horizontal="center" vertical="center" wrapText="1"/>
    </xf>
    <xf numFmtId="0" fontId="155" fillId="0" borderId="0" xfId="0" applyFont="1"/>
    <xf numFmtId="0" fontId="20" fillId="4" borderId="1" xfId="106" applyNumberFormat="1" applyFont="1" applyFill="1" applyBorder="1" applyAlignment="1" applyProtection="1">
      <alignment wrapText="1"/>
      <protection locked="0"/>
    </xf>
    <xf numFmtId="0" fontId="31" fillId="4" borderId="1" xfId="106" applyNumberFormat="1" applyFont="1" applyFill="1" applyBorder="1" applyAlignment="1" applyProtection="1">
      <alignment horizontal="left" vertical="top"/>
    </xf>
    <xf numFmtId="0" fontId="41" fillId="4" borderId="1" xfId="106" applyNumberFormat="1" applyFont="1" applyFill="1" applyBorder="1" applyAlignment="1" applyProtection="1">
      <alignment wrapText="1"/>
      <protection locked="0"/>
    </xf>
    <xf numFmtId="3" fontId="20" fillId="4" borderId="1" xfId="106" applyNumberFormat="1" applyFont="1" applyFill="1" applyBorder="1" applyAlignment="1" applyProtection="1">
      <alignment wrapText="1"/>
      <protection locked="0"/>
    </xf>
    <xf numFmtId="0" fontId="20" fillId="4" borderId="1" xfId="106" applyFont="1"/>
    <xf numFmtId="0" fontId="47" fillId="4" borderId="8" xfId="106" applyNumberFormat="1" applyFont="1" applyFill="1" applyBorder="1" applyAlignment="1" applyProtection="1">
      <alignment horizontal="center" vertical="center"/>
    </xf>
    <xf numFmtId="0" fontId="47" fillId="4" borderId="66" xfId="106" applyNumberFormat="1" applyFont="1" applyFill="1" applyBorder="1" applyAlignment="1" applyProtection="1">
      <alignment horizontal="center" vertical="center"/>
    </xf>
    <xf numFmtId="0" fontId="48" fillId="4" borderId="8" xfId="106" applyNumberFormat="1" applyFont="1" applyFill="1" applyBorder="1" applyAlignment="1" applyProtection="1">
      <alignment horizontal="center" vertical="center" wrapText="1"/>
    </xf>
    <xf numFmtId="0" fontId="48" fillId="4" borderId="66" xfId="106" applyNumberFormat="1" applyFont="1" applyFill="1" applyBorder="1" applyAlignment="1" applyProtection="1">
      <alignment horizontal="center" vertical="center" wrapText="1"/>
    </xf>
    <xf numFmtId="3" fontId="20" fillId="4" borderId="1" xfId="106" applyNumberFormat="1" applyFont="1" applyFill="1"/>
    <xf numFmtId="165" fontId="20" fillId="4" borderId="1" xfId="77" applyNumberFormat="1" applyFont="1" applyFill="1"/>
    <xf numFmtId="165" fontId="20" fillId="4" borderId="1" xfId="106" applyNumberFormat="1" applyFont="1" applyFill="1"/>
    <xf numFmtId="0" fontId="20" fillId="4" borderId="1" xfId="106" applyFont="1" applyFill="1" applyBorder="1"/>
    <xf numFmtId="165" fontId="20" fillId="4" borderId="1" xfId="106" applyNumberFormat="1" applyFont="1"/>
    <xf numFmtId="3" fontId="17" fillId="4" borderId="1" xfId="106" applyNumberFormat="1" applyFont="1" applyFill="1" applyBorder="1" applyAlignment="1" applyProtection="1">
      <alignment horizontal="right" vertical="center"/>
    </xf>
    <xf numFmtId="3" fontId="20" fillId="4" borderId="1" xfId="106" applyNumberFormat="1" applyFont="1" applyFill="1" applyBorder="1"/>
    <xf numFmtId="0" fontId="20" fillId="4" borderId="1" xfId="106" applyFont="1" applyFill="1"/>
    <xf numFmtId="0" fontId="20" fillId="0" borderId="0" xfId="0" applyFont="1" applyAlignment="1">
      <alignment wrapText="1"/>
    </xf>
    <xf numFmtId="0" fontId="41" fillId="5" borderId="0" xfId="0" applyFont="1" applyFill="1"/>
    <xf numFmtId="0" fontId="49" fillId="5" borderId="1" xfId="0" applyNumberFormat="1" applyFont="1" applyFill="1" applyBorder="1" applyAlignment="1" applyProtection="1">
      <alignment wrapText="1"/>
      <protection locked="0"/>
    </xf>
    <xf numFmtId="0" fontId="34" fillId="5" borderId="32" xfId="0" applyNumberFormat="1" applyFont="1" applyFill="1" applyBorder="1" applyAlignment="1" applyProtection="1">
      <alignment horizontal="center" vertical="center"/>
    </xf>
    <xf numFmtId="0" fontId="34" fillId="5" borderId="33" xfId="0" applyNumberFormat="1" applyFont="1" applyFill="1" applyBorder="1" applyAlignment="1" applyProtection="1">
      <alignment horizontal="left" vertical="center" wrapText="1"/>
    </xf>
    <xf numFmtId="43" fontId="34" fillId="5" borderId="33" xfId="77" applyNumberFormat="1" applyFont="1" applyFill="1" applyBorder="1" applyAlignment="1" applyProtection="1">
      <alignment horizontal="right" vertical="center"/>
    </xf>
    <xf numFmtId="0" fontId="37" fillId="4" borderId="1" xfId="0" applyNumberFormat="1" applyFont="1" applyFill="1" applyBorder="1" applyAlignment="1" applyProtection="1">
      <alignment wrapText="1"/>
      <protection locked="0"/>
    </xf>
    <xf numFmtId="0" fontId="156" fillId="4" borderId="1" xfId="0" applyNumberFormat="1" applyFont="1" applyFill="1" applyBorder="1" applyAlignment="1" applyProtection="1">
      <alignment horizontal="left" vertical="top"/>
    </xf>
    <xf numFmtId="0" fontId="37" fillId="0" borderId="0" xfId="0" applyFont="1"/>
    <xf numFmtId="0" fontId="160" fillId="4" borderId="40" xfId="0" applyNumberFormat="1" applyFont="1" applyFill="1" applyBorder="1" applyAlignment="1" applyProtection="1">
      <alignment horizontal="center" vertical="center"/>
    </xf>
    <xf numFmtId="0" fontId="159" fillId="4" borderId="40" xfId="0" applyNumberFormat="1" applyFont="1" applyFill="1" applyBorder="1" applyAlignment="1" applyProtection="1">
      <alignment horizontal="center" vertical="center" wrapText="1"/>
    </xf>
    <xf numFmtId="0" fontId="146" fillId="4" borderId="33" xfId="0" applyNumberFormat="1" applyFont="1" applyFill="1" applyBorder="1" applyAlignment="1" applyProtection="1">
      <alignment horizontal="center" vertical="center"/>
    </xf>
    <xf numFmtId="3" fontId="146" fillId="4" borderId="6" xfId="0" applyNumberFormat="1" applyFont="1" applyFill="1" applyBorder="1" applyAlignment="1" applyProtection="1">
      <alignment horizontal="right" vertical="center"/>
    </xf>
    <xf numFmtId="0" fontId="146" fillId="4" borderId="57" xfId="0" applyNumberFormat="1" applyFont="1" applyFill="1" applyBorder="1" applyAlignment="1" applyProtection="1">
      <alignment horizontal="center" vertical="center"/>
    </xf>
    <xf numFmtId="0" fontId="146" fillId="4" borderId="58" xfId="0" applyNumberFormat="1" applyFont="1" applyFill="1" applyBorder="1" applyAlignment="1" applyProtection="1">
      <alignment horizontal="center" vertical="center"/>
    </xf>
    <xf numFmtId="0" fontId="146" fillId="4" borderId="58" xfId="0" applyNumberFormat="1" applyFont="1" applyFill="1" applyBorder="1" applyAlignment="1" applyProtection="1">
      <alignment horizontal="left" vertical="center"/>
    </xf>
    <xf numFmtId="0" fontId="146" fillId="4" borderId="58" xfId="0" applyNumberFormat="1" applyFont="1" applyFill="1" applyBorder="1" applyAlignment="1" applyProtection="1">
      <alignment horizontal="right" vertical="center"/>
    </xf>
    <xf numFmtId="3" fontId="146" fillId="4" borderId="59" xfId="0" applyNumberFormat="1" applyFont="1" applyFill="1" applyBorder="1" applyAlignment="1" applyProtection="1">
      <alignment horizontal="right" vertical="center"/>
    </xf>
    <xf numFmtId="193" fontId="139" fillId="5" borderId="33" xfId="333" applyNumberFormat="1" applyFont="1" applyFill="1" applyBorder="1" applyAlignment="1" applyProtection="1">
      <alignment horizontal="right" vertical="center"/>
    </xf>
    <xf numFmtId="3" fontId="12" fillId="4" borderId="74" xfId="0" applyNumberFormat="1" applyFont="1" applyFill="1" applyBorder="1" applyAlignment="1" applyProtection="1">
      <alignment horizontal="right" vertical="center"/>
    </xf>
    <xf numFmtId="0" fontId="12" fillId="4" borderId="33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top"/>
    </xf>
    <xf numFmtId="3" fontId="12" fillId="4" borderId="33" xfId="0" applyNumberFormat="1" applyFont="1" applyFill="1" applyBorder="1" applyAlignment="1" applyProtection="1">
      <alignment horizontal="right" vertical="center"/>
    </xf>
    <xf numFmtId="0" fontId="12" fillId="4" borderId="73" xfId="0" applyNumberFormat="1" applyFont="1" applyFill="1" applyBorder="1" applyAlignment="1" applyProtection="1">
      <alignment horizontal="center" vertical="center"/>
    </xf>
    <xf numFmtId="0" fontId="23" fillId="4" borderId="33" xfId="0" applyNumberFormat="1" applyFont="1" applyFill="1" applyBorder="1" applyAlignment="1" applyProtection="1">
      <alignment horizontal="center" vertical="center"/>
    </xf>
    <xf numFmtId="3" fontId="23" fillId="4" borderId="33" xfId="0" applyNumberFormat="1" applyFont="1" applyFill="1" applyBorder="1" applyAlignment="1" applyProtection="1">
      <alignment horizontal="right" vertical="center"/>
    </xf>
    <xf numFmtId="3" fontId="12" fillId="4" borderId="73" xfId="0" applyNumberFormat="1" applyFont="1" applyFill="1" applyBorder="1" applyAlignment="1" applyProtection="1">
      <alignment horizontal="right" vertical="center"/>
    </xf>
    <xf numFmtId="0" fontId="146" fillId="4" borderId="33" xfId="0" applyNumberFormat="1" applyFont="1" applyFill="1" applyBorder="1" applyAlignment="1" applyProtection="1">
      <alignment horizontal="left" vertical="center" wrapText="1"/>
    </xf>
    <xf numFmtId="3" fontId="146" fillId="4" borderId="33" xfId="0" applyNumberFormat="1" applyFont="1" applyFill="1" applyBorder="1" applyAlignment="1" applyProtection="1">
      <alignment horizontal="right" vertical="center"/>
    </xf>
    <xf numFmtId="0" fontId="146" fillId="4" borderId="58" xfId="0" applyNumberFormat="1" applyFont="1" applyFill="1" applyBorder="1" applyAlignment="1" applyProtection="1">
      <alignment horizontal="left" vertical="center" wrapText="1"/>
    </xf>
    <xf numFmtId="3" fontId="146" fillId="4" borderId="58" xfId="0" applyNumberFormat="1" applyFont="1" applyFill="1" applyBorder="1" applyAlignment="1" applyProtection="1">
      <alignment horizontal="right" vertical="center"/>
    </xf>
    <xf numFmtId="0" fontId="160" fillId="4" borderId="8" xfId="0" applyNumberFormat="1" applyFont="1" applyFill="1" applyBorder="1" applyAlignment="1" applyProtection="1">
      <alignment horizontal="center" vertical="center"/>
    </xf>
    <xf numFmtId="0" fontId="159" fillId="4" borderId="8" xfId="0" applyNumberFormat="1" applyFont="1" applyFill="1" applyBorder="1" applyAlignment="1" applyProtection="1">
      <alignment horizontal="center" vertical="center" wrapText="1"/>
    </xf>
    <xf numFmtId="0" fontId="159" fillId="4" borderId="1" xfId="0" applyNumberFormat="1" applyFont="1" applyFill="1" applyBorder="1" applyAlignment="1" applyProtection="1">
      <alignment horizontal="left" vertical="top"/>
    </xf>
    <xf numFmtId="0" fontId="12" fillId="4" borderId="33" xfId="0" applyNumberFormat="1" applyFont="1" applyFill="1" applyBorder="1" applyAlignment="1" applyProtection="1">
      <alignment horizontal="left" vertical="center" wrapText="1"/>
    </xf>
    <xf numFmtId="0" fontId="82" fillId="4" borderId="1" xfId="0" applyNumberFormat="1" applyFont="1" applyFill="1" applyBorder="1" applyAlignment="1" applyProtection="1">
      <alignment horizontal="left" vertical="center"/>
    </xf>
    <xf numFmtId="0" fontId="31" fillId="4" borderId="1" xfId="0" applyNumberFormat="1" applyFont="1" applyFill="1" applyBorder="1" applyAlignment="1" applyProtection="1">
      <alignment horizontal="left" vertical="top"/>
    </xf>
    <xf numFmtId="0" fontId="124" fillId="7" borderId="7" xfId="0" applyNumberFormat="1" applyFont="1" applyFill="1" applyBorder="1" applyAlignment="1" applyProtection="1">
      <alignment horizontal="center" vertical="center" wrapText="1"/>
    </xf>
    <xf numFmtId="165" fontId="28" fillId="3" borderId="7" xfId="77" applyNumberFormat="1" applyFont="1" applyFill="1" applyBorder="1" applyAlignment="1" applyProtection="1">
      <alignment horizontal="center" vertical="center"/>
    </xf>
    <xf numFmtId="0" fontId="122" fillId="4" borderId="1" xfId="0" applyNumberFormat="1" applyFont="1" applyFill="1" applyBorder="1" applyAlignment="1" applyProtection="1">
      <alignment horizontal="left" vertical="top"/>
    </xf>
    <xf numFmtId="0" fontId="124" fillId="3" borderId="10" xfId="0" applyNumberFormat="1" applyFont="1" applyFill="1" applyBorder="1" applyAlignment="1" applyProtection="1">
      <alignment horizontal="center" vertical="center" wrapText="1"/>
    </xf>
    <xf numFmtId="0" fontId="123" fillId="4" borderId="1" xfId="0" applyNumberFormat="1" applyFont="1" applyFill="1" applyBorder="1" applyAlignment="1" applyProtection="1">
      <alignment horizontal="left" vertical="center"/>
    </xf>
    <xf numFmtId="0" fontId="124" fillId="3" borderId="5" xfId="0" applyNumberFormat="1" applyFont="1" applyFill="1" applyBorder="1" applyAlignment="1" applyProtection="1">
      <alignment horizontal="center" vertical="center"/>
    </xf>
    <xf numFmtId="0" fontId="27" fillId="4" borderId="50" xfId="0" applyFont="1" applyFill="1" applyBorder="1" applyAlignment="1">
      <alignment horizontal="center" vertical="center"/>
    </xf>
    <xf numFmtId="0" fontId="27" fillId="4" borderId="50" xfId="0" applyFont="1" applyFill="1" applyBorder="1" applyAlignment="1">
      <alignment horizontal="center" vertical="center" wrapText="1"/>
    </xf>
    <xf numFmtId="0" fontId="28" fillId="4" borderId="50" xfId="0" applyFont="1" applyFill="1" applyBorder="1" applyAlignment="1">
      <alignment horizontal="center" vertical="center"/>
    </xf>
    <xf numFmtId="0" fontId="49" fillId="4" borderId="1" xfId="111" applyNumberFormat="1" applyFont="1" applyFill="1" applyBorder="1" applyAlignment="1" applyProtection="1">
      <alignment horizontal="left" vertical="top"/>
    </xf>
    <xf numFmtId="0" fontId="124" fillId="3" borderId="7" xfId="10" applyNumberFormat="1" applyFont="1" applyFill="1" applyBorder="1" applyAlignment="1" applyProtection="1">
      <alignment horizontal="center" vertical="center"/>
    </xf>
    <xf numFmtId="0" fontId="27" fillId="3" borderId="7" xfId="0" applyNumberFormat="1" applyFont="1" applyFill="1" applyBorder="1" applyAlignment="1" applyProtection="1">
      <alignment horizontal="center" vertical="center"/>
    </xf>
    <xf numFmtId="0" fontId="12" fillId="4" borderId="49" xfId="0" applyNumberFormat="1" applyFont="1" applyFill="1" applyBorder="1" applyAlignment="1" applyProtection="1">
      <alignment horizontal="center" vertical="center"/>
    </xf>
    <xf numFmtId="0" fontId="12" fillId="4" borderId="33" xfId="0" quotePrefix="1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protection locked="0"/>
    </xf>
    <xf numFmtId="0" fontId="0" fillId="0" borderId="0" xfId="0" applyAlignment="1"/>
    <xf numFmtId="3" fontId="0" fillId="4" borderId="0" xfId="0" applyNumberFormat="1" applyFill="1"/>
    <xf numFmtId="3" fontId="161" fillId="4" borderId="50" xfId="0" applyNumberFormat="1" applyFont="1" applyFill="1" applyBorder="1" applyAlignment="1" applyProtection="1">
      <alignment horizontal="right" vertical="center"/>
    </xf>
    <xf numFmtId="165" fontId="56" fillId="4" borderId="50" xfId="546" applyNumberFormat="1" applyFont="1" applyBorder="1"/>
    <xf numFmtId="165" fontId="56" fillId="4" borderId="50" xfId="546" applyNumberFormat="1" applyFont="1" applyBorder="1" applyAlignment="1"/>
    <xf numFmtId="0" fontId="39" fillId="4" borderId="73" xfId="0" applyNumberFormat="1" applyFont="1" applyFill="1" applyBorder="1" applyAlignment="1" applyProtection="1">
      <alignment horizontal="center" vertical="center"/>
    </xf>
    <xf numFmtId="165" fontId="20" fillId="0" borderId="0" xfId="78" applyNumberFormat="1" applyFont="1"/>
    <xf numFmtId="0" fontId="28" fillId="5" borderId="33" xfId="0" applyNumberFormat="1" applyFont="1" applyFill="1" applyBorder="1" applyAlignment="1" applyProtection="1">
      <alignment horizontal="left" vertical="center"/>
    </xf>
    <xf numFmtId="3" fontId="38" fillId="5" borderId="61" xfId="0" applyNumberFormat="1" applyFont="1" applyFill="1" applyBorder="1" applyAlignment="1" applyProtection="1">
      <alignment horizontal="right" vertical="center"/>
    </xf>
    <xf numFmtId="0" fontId="38" fillId="4" borderId="60" xfId="0" applyNumberFormat="1" applyFont="1" applyFill="1" applyBorder="1" applyAlignment="1" applyProtection="1">
      <alignment horizontal="center" vertical="center"/>
    </xf>
    <xf numFmtId="0" fontId="39" fillId="7" borderId="73" xfId="0" applyNumberFormat="1" applyFont="1" applyFill="1" applyBorder="1" applyAlignment="1" applyProtection="1">
      <alignment horizontal="center" vertical="center"/>
    </xf>
    <xf numFmtId="3" fontId="38" fillId="4" borderId="61" xfId="0" applyNumberFormat="1" applyFont="1" applyFill="1" applyBorder="1" applyAlignment="1" applyProtection="1">
      <alignment horizontal="right" vertical="center"/>
    </xf>
    <xf numFmtId="3" fontId="128" fillId="4" borderId="61" xfId="0" applyNumberFormat="1" applyFont="1" applyFill="1" applyBorder="1" applyAlignment="1" applyProtection="1">
      <alignment horizontal="right" vertical="center"/>
    </xf>
    <xf numFmtId="3" fontId="39" fillId="7" borderId="74" xfId="0" applyNumberFormat="1" applyFont="1" applyFill="1" applyBorder="1" applyAlignment="1" applyProtection="1">
      <alignment horizontal="right" vertical="center"/>
    </xf>
    <xf numFmtId="3" fontId="49" fillId="5" borderId="33" xfId="0" applyNumberFormat="1" applyFont="1" applyFill="1" applyBorder="1" applyAlignment="1" applyProtection="1">
      <alignment horizontal="right" vertical="center"/>
    </xf>
    <xf numFmtId="3" fontId="49" fillId="5" borderId="25" xfId="0" applyNumberFormat="1" applyFont="1" applyFill="1" applyBorder="1" applyAlignment="1" applyProtection="1">
      <alignment horizontal="right" vertical="center"/>
    </xf>
    <xf numFmtId="0" fontId="39" fillId="7" borderId="73" xfId="0" applyNumberFormat="1" applyFont="1" applyFill="1" applyBorder="1" applyAlignment="1" applyProtection="1">
      <alignment horizontal="left" vertical="center"/>
    </xf>
    <xf numFmtId="0" fontId="38" fillId="7" borderId="60" xfId="0" applyNumberFormat="1" applyFont="1" applyFill="1" applyBorder="1" applyAlignment="1" applyProtection="1">
      <alignment horizontal="center" vertical="center"/>
    </xf>
    <xf numFmtId="3" fontId="38" fillId="7" borderId="61" xfId="0" applyNumberFormat="1" applyFont="1" applyFill="1" applyBorder="1" applyAlignment="1" applyProtection="1">
      <alignment horizontal="right" vertical="center"/>
    </xf>
    <xf numFmtId="3" fontId="39" fillId="7" borderId="73" xfId="0" applyNumberFormat="1" applyFont="1" applyFill="1" applyBorder="1" applyAlignment="1" applyProtection="1">
      <alignment horizontal="right" vertical="center"/>
    </xf>
    <xf numFmtId="0" fontId="28" fillId="5" borderId="32" xfId="0" applyNumberFormat="1" applyFont="1" applyFill="1" applyBorder="1" applyAlignment="1" applyProtection="1">
      <alignment horizontal="center" vertical="center"/>
    </xf>
    <xf numFmtId="165" fontId="28" fillId="5" borderId="6" xfId="77" applyNumberFormat="1" applyFont="1" applyFill="1" applyBorder="1" applyAlignment="1" applyProtection="1">
      <alignment horizontal="right" vertical="center"/>
    </xf>
    <xf numFmtId="0" fontId="34" fillId="5" borderId="33" xfId="0" applyNumberFormat="1" applyFont="1" applyFill="1" applyBorder="1" applyAlignment="1" applyProtection="1">
      <alignment horizontal="left" vertical="center"/>
    </xf>
    <xf numFmtId="0" fontId="79" fillId="0" borderId="204" xfId="0" applyFont="1" applyBorder="1"/>
    <xf numFmtId="0" fontId="48" fillId="4" borderId="8" xfId="0" applyNumberFormat="1" applyFont="1" applyFill="1" applyBorder="1" applyAlignment="1" applyProtection="1">
      <alignment horizontal="center" vertical="center" wrapText="1"/>
    </xf>
    <xf numFmtId="0" fontId="29" fillId="4" borderId="1" xfId="10" applyNumberFormat="1" applyFont="1" applyFill="1" applyBorder="1" applyAlignment="1" applyProtection="1">
      <alignment wrapText="1"/>
      <protection locked="0"/>
    </xf>
    <xf numFmtId="0" fontId="20" fillId="4" borderId="1" xfId="8" applyNumberFormat="1" applyFont="1" applyFill="1" applyBorder="1" applyAlignment="1" applyProtection="1">
      <alignment wrapText="1"/>
      <protection locked="0"/>
    </xf>
    <xf numFmtId="0" fontId="77" fillId="4" borderId="1" xfId="8" applyNumberFormat="1" applyFont="1" applyFill="1" applyBorder="1" applyAlignment="1" applyProtection="1">
      <alignment horizontal="left" vertical="top"/>
    </xf>
    <xf numFmtId="0" fontId="49" fillId="4" borderId="1" xfId="8" applyNumberFormat="1" applyFont="1" applyFill="1" applyBorder="1" applyAlignment="1" applyProtection="1">
      <alignment wrapText="1"/>
      <protection locked="0"/>
    </xf>
    <xf numFmtId="0" fontId="38" fillId="4" borderId="33" xfId="74" applyNumberFormat="1" applyFont="1" applyFill="1" applyBorder="1" applyAlignment="1" applyProtection="1">
      <alignment horizontal="center" vertical="center"/>
    </xf>
    <xf numFmtId="3" fontId="75" fillId="2" borderId="6" xfId="10" applyNumberFormat="1" applyFont="1" applyFill="1" applyBorder="1" applyAlignment="1" applyProtection="1">
      <alignment horizontal="right" vertical="center"/>
    </xf>
    <xf numFmtId="0" fontId="49" fillId="4" borderId="1" xfId="20" applyNumberFormat="1" applyFont="1" applyFill="1" applyBorder="1" applyAlignment="1" applyProtection="1">
      <alignment wrapText="1"/>
      <protection locked="0"/>
    </xf>
    <xf numFmtId="0" fontId="77" fillId="4" borderId="1" xfId="20" applyNumberFormat="1" applyFont="1" applyFill="1" applyBorder="1" applyAlignment="1" applyProtection="1">
      <alignment horizontal="left" vertical="top"/>
    </xf>
    <xf numFmtId="0" fontId="49" fillId="5" borderId="1" xfId="20" applyNumberFormat="1" applyFont="1" applyFill="1" applyBorder="1" applyAlignment="1" applyProtection="1">
      <alignment wrapText="1"/>
      <protection locked="0"/>
    </xf>
    <xf numFmtId="0" fontId="34" fillId="4" borderId="32" xfId="4" applyNumberFormat="1" applyFont="1" applyFill="1" applyBorder="1" applyAlignment="1" applyProtection="1">
      <alignment horizontal="center" vertical="center"/>
    </xf>
    <xf numFmtId="0" fontId="34" fillId="4" borderId="33" xfId="4" applyNumberFormat="1" applyFont="1" applyFill="1" applyBorder="1" applyAlignment="1" applyProtection="1">
      <alignment horizontal="left" vertical="center" wrapText="1"/>
    </xf>
    <xf numFmtId="0" fontId="34" fillId="4" borderId="33" xfId="4" applyNumberFormat="1" applyFont="1" applyFill="1" applyBorder="1" applyAlignment="1" applyProtection="1">
      <alignment horizontal="left" vertical="center"/>
    </xf>
    <xf numFmtId="0" fontId="77" fillId="4" borderId="50" xfId="20" applyNumberFormat="1" applyFont="1" applyFill="1" applyBorder="1" applyAlignment="1" applyProtection="1">
      <alignment vertical="top"/>
    </xf>
    <xf numFmtId="3" fontId="77" fillId="5" borderId="50" xfId="20" applyNumberFormat="1" applyFont="1" applyFill="1" applyBorder="1" applyAlignment="1" applyProtection="1">
      <alignment vertical="top"/>
    </xf>
    <xf numFmtId="3" fontId="130" fillId="5" borderId="50" xfId="20" applyNumberFormat="1" applyFont="1" applyFill="1" applyBorder="1" applyAlignment="1" applyProtection="1">
      <alignment vertical="top"/>
    </xf>
    <xf numFmtId="3" fontId="131" fillId="5" borderId="50" xfId="20" applyNumberFormat="1" applyFont="1" applyFill="1" applyBorder="1" applyAlignment="1" applyProtection="1">
      <alignment vertical="top"/>
    </xf>
    <xf numFmtId="3" fontId="77" fillId="4" borderId="50" xfId="20" applyNumberFormat="1" applyFont="1" applyFill="1" applyBorder="1" applyAlignment="1" applyProtection="1">
      <alignment vertical="top"/>
    </xf>
    <xf numFmtId="165" fontId="49" fillId="4" borderId="1" xfId="78" applyNumberFormat="1" applyFont="1" applyFill="1" applyBorder="1" applyAlignment="1" applyProtection="1">
      <alignment wrapText="1"/>
      <protection locked="0"/>
    </xf>
    <xf numFmtId="165" fontId="28" fillId="4" borderId="18" xfId="78" applyNumberFormat="1" applyFont="1" applyFill="1" applyBorder="1" applyAlignment="1" applyProtection="1">
      <alignment horizontal="center" vertical="center"/>
    </xf>
    <xf numFmtId="165" fontId="34" fillId="4" borderId="33" xfId="78" applyNumberFormat="1" applyFont="1" applyFill="1" applyBorder="1" applyAlignment="1" applyProtection="1">
      <alignment horizontal="right" vertical="center"/>
    </xf>
    <xf numFmtId="3" fontId="28" fillId="4" borderId="33" xfId="0" applyNumberFormat="1" applyFont="1" applyFill="1" applyBorder="1" applyAlignment="1" applyProtection="1">
      <alignment horizontal="right" vertical="center"/>
    </xf>
    <xf numFmtId="165" fontId="34" fillId="5" borderId="33" xfId="78" applyNumberFormat="1" applyFont="1" applyFill="1" applyBorder="1" applyAlignment="1" applyProtection="1">
      <alignment horizontal="right" vertical="center" wrapText="1"/>
    </xf>
    <xf numFmtId="165" fontId="50" fillId="5" borderId="50" xfId="77" applyNumberFormat="1" applyFont="1" applyFill="1" applyBorder="1"/>
    <xf numFmtId="165" fontId="34" fillId="2" borderId="52" xfId="78" applyNumberFormat="1" applyFont="1" applyFill="1" applyBorder="1" applyAlignment="1" applyProtection="1">
      <alignment horizontal="right" vertical="center" wrapText="1"/>
    </xf>
    <xf numFmtId="165" fontId="77" fillId="4" borderId="50" xfId="78" applyNumberFormat="1" applyFont="1" applyFill="1" applyBorder="1" applyAlignment="1" applyProtection="1">
      <alignment vertical="top"/>
    </xf>
    <xf numFmtId="0" fontId="20" fillId="4" borderId="1" xfId="12" applyNumberFormat="1" applyFont="1" applyFill="1" applyBorder="1" applyAlignment="1" applyProtection="1">
      <alignment wrapText="1"/>
      <protection locked="0"/>
    </xf>
    <xf numFmtId="0" fontId="19" fillId="4" borderId="1" xfId="12" applyNumberFormat="1" applyFont="1" applyFill="1" applyBorder="1" applyAlignment="1" applyProtection="1">
      <alignment horizontal="left" vertical="top"/>
    </xf>
    <xf numFmtId="0" fontId="132" fillId="3" borderId="2" xfId="12" applyNumberFormat="1" applyFont="1" applyFill="1" applyBorder="1" applyAlignment="1" applyProtection="1">
      <alignment horizontal="left" vertical="center" wrapText="1"/>
    </xf>
    <xf numFmtId="0" fontId="132" fillId="3" borderId="3" xfId="12" applyNumberFormat="1" applyFont="1" applyFill="1" applyBorder="1" applyAlignment="1" applyProtection="1">
      <alignment horizontal="left" vertical="center" wrapText="1"/>
    </xf>
    <xf numFmtId="0" fontId="132" fillId="3" borderId="41" xfId="12" applyNumberFormat="1" applyFont="1" applyFill="1" applyBorder="1" applyAlignment="1" applyProtection="1">
      <alignment horizontal="left" vertical="center" wrapText="1"/>
    </xf>
    <xf numFmtId="0" fontId="132" fillId="3" borderId="42" xfId="12" applyNumberFormat="1" applyFont="1" applyFill="1" applyBorder="1" applyAlignment="1" applyProtection="1">
      <alignment horizontal="left" vertical="center" wrapText="1"/>
    </xf>
    <xf numFmtId="0" fontId="132" fillId="3" borderId="9" xfId="12" applyNumberFormat="1" applyFont="1" applyFill="1" applyBorder="1" applyAlignment="1" applyProtection="1">
      <alignment horizontal="center" vertical="center" wrapText="1"/>
    </xf>
    <xf numFmtId="0" fontId="132" fillId="3" borderId="155" xfId="12" applyNumberFormat="1" applyFont="1" applyFill="1" applyBorder="1" applyAlignment="1" applyProtection="1">
      <alignment horizontal="center" vertical="center" wrapText="1"/>
    </xf>
    <xf numFmtId="0" fontId="132" fillId="3" borderId="11" xfId="12" applyNumberFormat="1" applyFont="1" applyFill="1" applyBorder="1" applyAlignment="1" applyProtection="1">
      <alignment horizontal="center" vertical="center" wrapText="1"/>
    </xf>
    <xf numFmtId="0" fontId="132" fillId="3" borderId="154" xfId="12" applyNumberFormat="1" applyFont="1" applyFill="1" applyBorder="1" applyAlignment="1" applyProtection="1">
      <alignment horizontal="center" vertical="center" wrapText="1"/>
    </xf>
    <xf numFmtId="0" fontId="132" fillId="3" borderId="156" xfId="12" applyNumberFormat="1" applyFont="1" applyFill="1" applyBorder="1" applyAlignment="1" applyProtection="1">
      <alignment horizontal="center" vertical="center" wrapText="1"/>
    </xf>
    <xf numFmtId="0" fontId="132" fillId="3" borderId="5" xfId="12" applyNumberFormat="1" applyFont="1" applyFill="1" applyBorder="1" applyAlignment="1" applyProtection="1">
      <alignment horizontal="center" vertical="center"/>
    </xf>
    <xf numFmtId="0" fontId="132" fillId="3" borderId="14" xfId="12" applyNumberFormat="1" applyFont="1" applyFill="1" applyBorder="1" applyAlignment="1" applyProtection="1">
      <alignment horizontal="center" vertical="center"/>
    </xf>
    <xf numFmtId="0" fontId="132" fillId="3" borderId="15" xfId="12" applyNumberFormat="1" applyFont="1" applyFill="1" applyBorder="1" applyAlignment="1" applyProtection="1">
      <alignment horizontal="center" vertical="center"/>
    </xf>
    <xf numFmtId="0" fontId="134" fillId="4" borderId="195" xfId="12" applyNumberFormat="1" applyFont="1" applyFill="1" applyBorder="1" applyAlignment="1" applyProtection="1">
      <alignment horizontal="center" vertical="center"/>
    </xf>
    <xf numFmtId="0" fontId="134" fillId="4" borderId="19" xfId="12" applyNumberFormat="1" applyFont="1" applyFill="1" applyBorder="1" applyAlignment="1" applyProtection="1">
      <alignment horizontal="center" vertical="center"/>
    </xf>
    <xf numFmtId="0" fontId="135" fillId="4" borderId="32" xfId="12" applyNumberFormat="1" applyFont="1" applyFill="1" applyBorder="1" applyAlignment="1" applyProtection="1">
      <alignment horizontal="center" vertical="center"/>
    </xf>
    <xf numFmtId="0" fontId="135" fillId="4" borderId="33" xfId="12" applyNumberFormat="1" applyFont="1" applyFill="1" applyBorder="1" applyAlignment="1" applyProtection="1">
      <alignment horizontal="left" vertical="center" wrapText="1"/>
    </xf>
    <xf numFmtId="3" fontId="34" fillId="5" borderId="33" xfId="12" applyNumberFormat="1" applyFont="1" applyFill="1" applyBorder="1" applyAlignment="1" applyProtection="1">
      <alignment horizontal="right" vertical="center"/>
    </xf>
    <xf numFmtId="165" fontId="34" fillId="5" borderId="33" xfId="12" applyNumberFormat="1" applyFont="1" applyFill="1" applyBorder="1" applyAlignment="1" applyProtection="1">
      <alignment horizontal="right" vertical="center"/>
    </xf>
    <xf numFmtId="43" fontId="34" fillId="5" borderId="33" xfId="12" applyNumberFormat="1" applyFont="1" applyFill="1" applyBorder="1" applyAlignment="1" applyProtection="1">
      <alignment horizontal="right" vertical="center"/>
    </xf>
    <xf numFmtId="165" fontId="49" fillId="5" borderId="50" xfId="77" applyNumberFormat="1" applyFont="1" applyFill="1" applyBorder="1"/>
    <xf numFmtId="43" fontId="34" fillId="5" borderId="6" xfId="77" applyNumberFormat="1" applyFont="1" applyFill="1" applyBorder="1" applyAlignment="1" applyProtection="1">
      <alignment horizontal="right" vertical="center" wrapText="1"/>
    </xf>
    <xf numFmtId="1" fontId="20" fillId="0" borderId="0" xfId="0" applyNumberFormat="1" applyFont="1"/>
    <xf numFmtId="3" fontId="28" fillId="4" borderId="165" xfId="12" applyNumberFormat="1" applyFont="1" applyFill="1" applyBorder="1" applyAlignment="1" applyProtection="1">
      <alignment horizontal="right" vertical="center"/>
    </xf>
    <xf numFmtId="3" fontId="28" fillId="5" borderId="165" xfId="12" applyNumberFormat="1" applyFont="1" applyFill="1" applyBorder="1" applyAlignment="1" applyProtection="1">
      <alignment horizontal="right" vertical="center"/>
    </xf>
    <xf numFmtId="3" fontId="28" fillId="5" borderId="33" xfId="12" applyNumberFormat="1" applyFont="1" applyFill="1" applyBorder="1" applyAlignment="1" applyProtection="1">
      <alignment horizontal="right" vertical="center"/>
    </xf>
    <xf numFmtId="0" fontId="34" fillId="5" borderId="33" xfId="12" applyNumberFormat="1" applyFont="1" applyFill="1" applyBorder="1" applyAlignment="1" applyProtection="1">
      <alignment horizontal="right" vertical="center"/>
    </xf>
    <xf numFmtId="165" fontId="20" fillId="4" borderId="1" xfId="78" applyNumberFormat="1" applyFont="1" applyFill="1" applyBorder="1" applyAlignment="1" applyProtection="1">
      <alignment wrapText="1"/>
      <protection locked="0"/>
    </xf>
    <xf numFmtId="165" fontId="132" fillId="3" borderId="12" xfId="78" applyNumberFormat="1" applyFont="1" applyFill="1" applyBorder="1" applyAlignment="1" applyProtection="1">
      <alignment horizontal="center" vertical="center" wrapText="1"/>
    </xf>
    <xf numFmtId="165" fontId="132" fillId="3" borderId="14" xfId="78" applyNumberFormat="1" applyFont="1" applyFill="1" applyBorder="1" applyAlignment="1" applyProtection="1">
      <alignment horizontal="center" vertical="center"/>
    </xf>
    <xf numFmtId="165" fontId="134" fillId="4" borderId="195" xfId="78" applyNumberFormat="1" applyFont="1" applyFill="1" applyBorder="1" applyAlignment="1" applyProtection="1">
      <alignment horizontal="center" vertical="center"/>
    </xf>
    <xf numFmtId="165" fontId="28" fillId="5" borderId="165" xfId="78" applyNumberFormat="1" applyFont="1" applyFill="1" applyBorder="1" applyAlignment="1" applyProtection="1">
      <alignment horizontal="right" vertical="center"/>
    </xf>
    <xf numFmtId="0" fontId="34" fillId="5" borderId="1" xfId="6" applyNumberFormat="1" applyFont="1" applyFill="1" applyBorder="1" applyAlignment="1" applyProtection="1">
      <alignment wrapText="1"/>
      <protection locked="0"/>
    </xf>
    <xf numFmtId="0" fontId="34" fillId="5" borderId="1" xfId="6" applyNumberFormat="1" applyFont="1" applyFill="1" applyBorder="1" applyAlignment="1" applyProtection="1">
      <alignment horizontal="left" vertical="top"/>
    </xf>
    <xf numFmtId="0" fontId="34" fillId="5" borderId="0" xfId="0" applyFont="1" applyFill="1"/>
    <xf numFmtId="0" fontId="28" fillId="5" borderId="8" xfId="6" applyNumberFormat="1" applyFont="1" applyFill="1" applyBorder="1" applyAlignment="1" applyProtection="1">
      <alignment horizontal="center" vertical="center"/>
    </xf>
    <xf numFmtId="0" fontId="34" fillId="5" borderId="33" xfId="6" applyNumberFormat="1" applyFont="1" applyFill="1" applyBorder="1" applyAlignment="1" applyProtection="1">
      <alignment horizontal="center" vertical="center"/>
    </xf>
    <xf numFmtId="0" fontId="34" fillId="5" borderId="33" xfId="6" applyNumberFormat="1" applyFont="1" applyFill="1" applyBorder="1" applyAlignment="1" applyProtection="1">
      <alignment horizontal="left" vertical="center" wrapText="1"/>
    </xf>
    <xf numFmtId="0" fontId="34" fillId="5" borderId="33" xfId="6" applyNumberFormat="1" applyFont="1" applyFill="1" applyBorder="1" applyAlignment="1" applyProtection="1">
      <alignment horizontal="left" vertical="center"/>
    </xf>
    <xf numFmtId="0" fontId="34" fillId="5" borderId="33" xfId="6" applyNumberFormat="1" applyFont="1" applyFill="1" applyBorder="1" applyAlignment="1" applyProtection="1">
      <alignment horizontal="right" vertical="center"/>
    </xf>
    <xf numFmtId="3" fontId="28" fillId="5" borderId="33" xfId="6" applyNumberFormat="1" applyFont="1" applyFill="1" applyBorder="1" applyAlignment="1" applyProtection="1">
      <alignment horizontal="right" vertical="center"/>
    </xf>
    <xf numFmtId="0" fontId="28" fillId="5" borderId="1" xfId="6" applyNumberFormat="1" applyFont="1" applyFill="1" applyBorder="1" applyAlignment="1" applyProtection="1">
      <alignment wrapText="1"/>
      <protection locked="0"/>
    </xf>
    <xf numFmtId="0" fontId="34" fillId="5" borderId="198" xfId="6" applyNumberFormat="1" applyFont="1" applyFill="1" applyBorder="1" applyAlignment="1" applyProtection="1">
      <alignment horizontal="center" vertical="center" wrapText="1"/>
    </xf>
    <xf numFmtId="0" fontId="34" fillId="5" borderId="165" xfId="6" applyNumberFormat="1" applyFont="1" applyFill="1" applyBorder="1" applyAlignment="1" applyProtection="1">
      <alignment horizontal="center" vertical="center"/>
    </xf>
    <xf numFmtId="0" fontId="34" fillId="5" borderId="165" xfId="6" applyNumberFormat="1" applyFont="1" applyFill="1" applyBorder="1" applyAlignment="1" applyProtection="1">
      <alignment horizontal="left" vertical="center" wrapText="1"/>
    </xf>
    <xf numFmtId="165" fontId="34" fillId="5" borderId="165" xfId="6" applyNumberFormat="1" applyFont="1" applyFill="1" applyBorder="1" applyAlignment="1" applyProtection="1">
      <alignment horizontal="center" vertical="center"/>
    </xf>
    <xf numFmtId="0" fontId="34" fillId="5" borderId="165" xfId="6" applyNumberFormat="1" applyFont="1" applyFill="1" applyBorder="1" applyAlignment="1" applyProtection="1">
      <alignment horizontal="left" vertical="center"/>
    </xf>
    <xf numFmtId="3" fontId="34" fillId="5" borderId="165" xfId="6" applyNumberFormat="1" applyFont="1" applyFill="1" applyBorder="1" applyAlignment="1" applyProtection="1">
      <alignment horizontal="right" vertical="center"/>
    </xf>
    <xf numFmtId="0" fontId="34" fillId="5" borderId="50" xfId="6" applyNumberFormat="1" applyFont="1" applyFill="1" applyBorder="1" applyAlignment="1" applyProtection="1">
      <alignment horizontal="center" vertical="center"/>
    </xf>
    <xf numFmtId="0" fontId="34" fillId="5" borderId="50" xfId="6" applyNumberFormat="1" applyFont="1" applyFill="1" applyBorder="1" applyAlignment="1" applyProtection="1">
      <alignment horizontal="left" vertical="center" wrapText="1"/>
    </xf>
    <xf numFmtId="0" fontId="34" fillId="5" borderId="50" xfId="6" applyNumberFormat="1" applyFont="1" applyFill="1" applyBorder="1" applyAlignment="1" applyProtection="1">
      <alignment horizontal="left" vertical="center"/>
    </xf>
    <xf numFmtId="3" fontId="34" fillId="5" borderId="50" xfId="6" applyNumberFormat="1" applyFont="1" applyFill="1" applyBorder="1" applyAlignment="1" applyProtection="1">
      <alignment horizontal="right" vertical="center"/>
    </xf>
    <xf numFmtId="165" fontId="34" fillId="5" borderId="50" xfId="0" applyNumberFormat="1" applyFont="1" applyFill="1" applyBorder="1" applyAlignment="1" applyProtection="1">
      <alignment horizontal="right" vertical="center"/>
    </xf>
    <xf numFmtId="165" fontId="34" fillId="5" borderId="50" xfId="6" applyNumberFormat="1" applyFont="1" applyFill="1" applyBorder="1" applyAlignment="1" applyProtection="1">
      <alignment horizontal="right" vertical="center"/>
    </xf>
    <xf numFmtId="165" fontId="34" fillId="5" borderId="50" xfId="6" applyNumberFormat="1" applyFont="1" applyFill="1" applyBorder="1" applyAlignment="1" applyProtection="1">
      <alignment horizontal="center" vertical="center"/>
    </xf>
    <xf numFmtId="0" fontId="28" fillId="5" borderId="66" xfId="6" applyNumberFormat="1" applyFont="1" applyFill="1" applyBorder="1" applyAlignment="1" applyProtection="1">
      <alignment horizontal="center" vertical="center"/>
    </xf>
    <xf numFmtId="0" fontId="34" fillId="5" borderId="199" xfId="6" applyNumberFormat="1" applyFont="1" applyFill="1" applyBorder="1" applyAlignment="1" applyProtection="1">
      <alignment horizontal="center" vertical="center" wrapText="1"/>
    </xf>
    <xf numFmtId="0" fontId="34" fillId="5" borderId="176" xfId="6" applyNumberFormat="1" applyFont="1" applyFill="1" applyBorder="1" applyAlignment="1" applyProtection="1">
      <alignment horizontal="center" vertical="center"/>
    </xf>
    <xf numFmtId="165" fontId="34" fillId="5" borderId="62" xfId="0" applyNumberFormat="1" applyFont="1" applyFill="1" applyBorder="1" applyAlignment="1" applyProtection="1">
      <alignment horizontal="right" vertical="center"/>
    </xf>
    <xf numFmtId="165" fontId="34" fillId="5" borderId="62" xfId="6" applyNumberFormat="1" applyFont="1" applyFill="1" applyBorder="1" applyAlignment="1" applyProtection="1">
      <alignment horizontal="right" vertical="center"/>
    </xf>
    <xf numFmtId="3" fontId="34" fillId="5" borderId="62" xfId="6" applyNumberFormat="1" applyFont="1" applyFill="1" applyBorder="1" applyAlignment="1" applyProtection="1">
      <alignment horizontal="right" vertical="center"/>
    </xf>
    <xf numFmtId="0" fontId="34" fillId="5" borderId="228" xfId="6" applyNumberFormat="1" applyFont="1" applyFill="1" applyBorder="1" applyAlignment="1" applyProtection="1">
      <alignment horizontal="center" vertical="center"/>
    </xf>
    <xf numFmtId="3" fontId="34" fillId="5" borderId="63" xfId="6" applyNumberFormat="1" applyFont="1" applyFill="1" applyBorder="1" applyAlignment="1" applyProtection="1">
      <alignment horizontal="right" vertical="center"/>
    </xf>
    <xf numFmtId="0" fontId="34" fillId="5" borderId="60" xfId="6" applyNumberFormat="1" applyFont="1" applyFill="1" applyBorder="1" applyAlignment="1" applyProtection="1">
      <alignment horizontal="center" vertical="center"/>
    </xf>
    <xf numFmtId="3" fontId="28" fillId="5" borderId="61" xfId="6" applyNumberFormat="1" applyFont="1" applyFill="1" applyBorder="1" applyAlignment="1" applyProtection="1">
      <alignment horizontal="right" vertical="center"/>
    </xf>
    <xf numFmtId="0" fontId="34" fillId="5" borderId="72" xfId="6" applyNumberFormat="1" applyFont="1" applyFill="1" applyBorder="1" applyAlignment="1" applyProtection="1">
      <alignment horizontal="center" vertical="center"/>
    </xf>
    <xf numFmtId="0" fontId="34" fillId="5" borderId="73" xfId="6" applyNumberFormat="1" applyFont="1" applyFill="1" applyBorder="1" applyAlignment="1" applyProtection="1">
      <alignment horizontal="center" vertical="center"/>
    </xf>
    <xf numFmtId="0" fontId="34" fillId="5" borderId="73" xfId="6" applyNumberFormat="1" applyFont="1" applyFill="1" applyBorder="1" applyAlignment="1" applyProtection="1">
      <alignment horizontal="left" vertical="center" wrapText="1"/>
    </xf>
    <xf numFmtId="0" fontId="34" fillId="5" borderId="73" xfId="6" applyNumberFormat="1" applyFont="1" applyFill="1" applyBorder="1" applyAlignment="1" applyProtection="1">
      <alignment horizontal="left" vertical="center"/>
    </xf>
    <xf numFmtId="0" fontId="34" fillId="5" borderId="73" xfId="6" applyNumberFormat="1" applyFont="1" applyFill="1" applyBorder="1" applyAlignment="1" applyProtection="1">
      <alignment horizontal="right" vertical="center"/>
    </xf>
    <xf numFmtId="3" fontId="28" fillId="5" borderId="73" xfId="6" applyNumberFormat="1" applyFont="1" applyFill="1" applyBorder="1" applyAlignment="1" applyProtection="1">
      <alignment horizontal="right" vertical="center"/>
    </xf>
    <xf numFmtId="3" fontId="28" fillId="5" borderId="74" xfId="6" applyNumberFormat="1" applyFont="1" applyFill="1" applyBorder="1" applyAlignment="1" applyProtection="1">
      <alignment horizontal="right" vertical="center"/>
    </xf>
    <xf numFmtId="0" fontId="40" fillId="5" borderId="1" xfId="6" applyNumberFormat="1" applyFont="1" applyFill="1" applyBorder="1" applyAlignment="1" applyProtection="1">
      <alignment wrapText="1"/>
      <protection locked="0"/>
    </xf>
    <xf numFmtId="0" fontId="40" fillId="5" borderId="0" xfId="0" applyFont="1" applyFill="1"/>
    <xf numFmtId="165" fontId="34" fillId="0" borderId="50" xfId="78" applyNumberFormat="1" applyFont="1" applyBorder="1"/>
    <xf numFmtId="3" fontId="34" fillId="5" borderId="50" xfId="12" applyNumberFormat="1" applyFont="1" applyFill="1" applyBorder="1" applyAlignment="1" applyProtection="1">
      <alignment horizontal="right" vertical="center"/>
    </xf>
    <xf numFmtId="165" fontId="34" fillId="5" borderId="50" xfId="77" applyNumberFormat="1" applyFont="1" applyFill="1" applyBorder="1"/>
    <xf numFmtId="43" fontId="34" fillId="0" borderId="50" xfId="78" applyNumberFormat="1" applyFont="1" applyBorder="1"/>
    <xf numFmtId="0" fontId="28" fillId="5" borderId="1" xfId="6" applyNumberFormat="1" applyFont="1" applyFill="1" applyBorder="1" applyAlignment="1" applyProtection="1">
      <alignment horizontal="left" vertical="center"/>
    </xf>
    <xf numFmtId="0" fontId="34" fillId="5" borderId="1" xfId="6" applyNumberFormat="1" applyFont="1" applyFill="1" applyBorder="1" applyAlignment="1" applyProtection="1">
      <alignment horizontal="center" wrapText="1"/>
      <protection locked="0"/>
    </xf>
    <xf numFmtId="0" fontId="28" fillId="5" borderId="1" xfId="6" applyNumberFormat="1" applyFont="1" applyFill="1" applyBorder="1" applyAlignment="1" applyProtection="1">
      <alignment horizontal="center" vertical="center"/>
    </xf>
    <xf numFmtId="0" fontId="34" fillId="5" borderId="0" xfId="0" applyFont="1" applyFill="1" applyAlignment="1">
      <alignment horizontal="center"/>
    </xf>
    <xf numFmtId="0" fontId="34" fillId="5" borderId="198" xfId="6" applyNumberFormat="1" applyFont="1" applyFill="1" applyBorder="1" applyAlignment="1" applyProtection="1">
      <alignment vertical="center" wrapText="1"/>
    </xf>
    <xf numFmtId="0" fontId="34" fillId="5" borderId="165" xfId="6" applyNumberFormat="1" applyFont="1" applyFill="1" applyBorder="1" applyAlignment="1" applyProtection="1">
      <alignment horizontal="right" vertical="center"/>
    </xf>
    <xf numFmtId="3" fontId="28" fillId="5" borderId="165" xfId="6" applyNumberFormat="1" applyFont="1" applyFill="1" applyBorder="1" applyAlignment="1" applyProtection="1">
      <alignment horizontal="right" vertical="center"/>
    </xf>
    <xf numFmtId="0" fontId="34" fillId="4" borderId="50" xfId="12" applyNumberFormat="1" applyFont="1" applyFill="1" applyBorder="1" applyAlignment="1" applyProtection="1">
      <alignment horizontal="center" vertical="center"/>
    </xf>
    <xf numFmtId="0" fontId="34" fillId="4" borderId="50" xfId="12" applyNumberFormat="1" applyFont="1" applyFill="1" applyBorder="1" applyAlignment="1" applyProtection="1">
      <alignment horizontal="left" vertical="center" wrapText="1"/>
    </xf>
    <xf numFmtId="3" fontId="28" fillId="5" borderId="63" xfId="6" applyNumberFormat="1" applyFont="1" applyFill="1" applyBorder="1" applyAlignment="1" applyProtection="1">
      <alignment horizontal="right" vertical="center"/>
    </xf>
    <xf numFmtId="0" fontId="40" fillId="5" borderId="72" xfId="6" applyNumberFormat="1" applyFont="1" applyFill="1" applyBorder="1" applyAlignment="1" applyProtection="1">
      <alignment horizontal="center" vertical="center"/>
    </xf>
    <xf numFmtId="0" fontId="40" fillId="5" borderId="73" xfId="6" applyNumberFormat="1" applyFont="1" applyFill="1" applyBorder="1" applyAlignment="1" applyProtection="1">
      <alignment horizontal="center" vertical="center"/>
    </xf>
    <xf numFmtId="0" fontId="40" fillId="5" borderId="73" xfId="6" applyNumberFormat="1" applyFont="1" applyFill="1" applyBorder="1" applyAlignment="1" applyProtection="1">
      <alignment horizontal="left" vertical="center" wrapText="1"/>
    </xf>
    <xf numFmtId="0" fontId="40" fillId="5" borderId="73" xfId="6" applyNumberFormat="1" applyFont="1" applyFill="1" applyBorder="1" applyAlignment="1" applyProtection="1">
      <alignment horizontal="right" vertical="center"/>
    </xf>
    <xf numFmtId="3" fontId="78" fillId="5" borderId="73" xfId="6" applyNumberFormat="1" applyFont="1" applyFill="1" applyBorder="1" applyAlignment="1" applyProtection="1">
      <alignment horizontal="right" vertical="center"/>
    </xf>
    <xf numFmtId="3" fontId="78" fillId="5" borderId="74" xfId="6" applyNumberFormat="1" applyFont="1" applyFill="1" applyBorder="1" applyAlignment="1" applyProtection="1">
      <alignment horizontal="right" vertical="center"/>
    </xf>
    <xf numFmtId="0" fontId="33" fillId="4" borderId="1" xfId="0" applyFont="1" applyFill="1" applyBorder="1" applyAlignment="1">
      <alignment horizontal="left" vertical="top"/>
    </xf>
    <xf numFmtId="0" fontId="56" fillId="4" borderId="1" xfId="0" applyNumberFormat="1" applyFont="1" applyFill="1" applyBorder="1" applyAlignment="1" applyProtection="1">
      <alignment wrapText="1"/>
      <protection locked="0"/>
    </xf>
    <xf numFmtId="0" fontId="142" fillId="4" borderId="32" xfId="0" applyNumberFormat="1" applyFont="1" applyFill="1" applyBorder="1" applyAlignment="1" applyProtection="1">
      <alignment horizontal="center" vertical="center"/>
    </xf>
    <xf numFmtId="0" fontId="142" fillId="4" borderId="33" xfId="0" applyNumberFormat="1" applyFont="1" applyFill="1" applyBorder="1" applyAlignment="1" applyProtection="1">
      <alignment horizontal="right" vertical="center"/>
    </xf>
    <xf numFmtId="165" fontId="142" fillId="4" borderId="33" xfId="77" applyNumberFormat="1" applyFont="1" applyFill="1" applyBorder="1" applyAlignment="1" applyProtection="1">
      <alignment horizontal="right" vertical="center"/>
    </xf>
    <xf numFmtId="165" fontId="142" fillId="4" borderId="33" xfId="0" applyNumberFormat="1" applyFont="1" applyFill="1" applyBorder="1" applyAlignment="1" applyProtection="1">
      <alignment horizontal="right" vertical="center"/>
    </xf>
    <xf numFmtId="165" fontId="142" fillId="4" borderId="6" xfId="0" applyNumberFormat="1" applyFont="1" applyFill="1" applyBorder="1" applyAlignment="1" applyProtection="1">
      <alignment horizontal="right" vertical="center" wrapText="1"/>
    </xf>
    <xf numFmtId="43" fontId="142" fillId="4" borderId="33" xfId="77" applyFont="1" applyFill="1" applyBorder="1" applyAlignment="1" applyProtection="1">
      <alignment horizontal="right" vertical="center"/>
    </xf>
    <xf numFmtId="43" fontId="142" fillId="4" borderId="33" xfId="0" applyNumberFormat="1" applyFont="1" applyFill="1" applyBorder="1" applyAlignment="1" applyProtection="1">
      <alignment horizontal="right" vertical="center"/>
    </xf>
    <xf numFmtId="0" fontId="47" fillId="4" borderId="8" xfId="0" applyNumberFormat="1" applyFont="1" applyFill="1" applyBorder="1" applyAlignment="1" applyProtection="1">
      <alignment horizontal="center" vertical="center"/>
    </xf>
    <xf numFmtId="0" fontId="47" fillId="4" borderId="40" xfId="0" applyNumberFormat="1" applyFont="1" applyFill="1" applyBorder="1" applyAlignment="1" applyProtection="1">
      <alignment horizontal="center" vertical="center"/>
    </xf>
    <xf numFmtId="0" fontId="48" fillId="4" borderId="40" xfId="0" applyNumberFormat="1" applyFont="1" applyFill="1" applyBorder="1" applyAlignment="1" applyProtection="1">
      <alignment horizontal="center" vertical="center" wrapText="1"/>
    </xf>
    <xf numFmtId="0" fontId="17" fillId="4" borderId="32" xfId="0" applyNumberFormat="1" applyFont="1" applyFill="1" applyBorder="1" applyAlignment="1" applyProtection="1">
      <alignment horizontal="center" vertical="center"/>
    </xf>
    <xf numFmtId="0" fontId="17" fillId="4" borderId="33" xfId="0" applyNumberFormat="1" applyFont="1" applyFill="1" applyBorder="1" applyAlignment="1" applyProtection="1">
      <alignment horizontal="center" vertical="center"/>
    </xf>
    <xf numFmtId="0" fontId="17" fillId="4" borderId="33" xfId="0" applyNumberFormat="1" applyFont="1" applyFill="1" applyBorder="1" applyAlignment="1" applyProtection="1">
      <alignment horizontal="left" vertical="center" wrapText="1"/>
    </xf>
    <xf numFmtId="0" fontId="17" fillId="4" borderId="33" xfId="0" applyNumberFormat="1" applyFont="1" applyFill="1" applyBorder="1" applyAlignment="1" applyProtection="1">
      <alignment horizontal="left" vertical="center"/>
    </xf>
    <xf numFmtId="0" fontId="17" fillId="4" borderId="33" xfId="0" applyNumberFormat="1" applyFont="1" applyFill="1" applyBorder="1" applyAlignment="1" applyProtection="1">
      <alignment horizontal="right" vertical="center"/>
    </xf>
    <xf numFmtId="3" fontId="17" fillId="4" borderId="33" xfId="0" applyNumberFormat="1" applyFont="1" applyFill="1" applyBorder="1" applyAlignment="1" applyProtection="1">
      <alignment horizontal="right" vertical="center"/>
    </xf>
    <xf numFmtId="3" fontId="17" fillId="4" borderId="6" xfId="0" applyNumberFormat="1" applyFont="1" applyFill="1" applyBorder="1" applyAlignment="1" applyProtection="1">
      <alignment horizontal="right" vertical="center"/>
    </xf>
    <xf numFmtId="3" fontId="20" fillId="4" borderId="50" xfId="536" applyNumberFormat="1" applyFont="1" applyFill="1" applyBorder="1"/>
    <xf numFmtId="3" fontId="49" fillId="4" borderId="50" xfId="536" applyNumberFormat="1" applyFont="1" applyFill="1" applyBorder="1"/>
    <xf numFmtId="3" fontId="49" fillId="4" borderId="50" xfId="0" applyNumberFormat="1" applyFont="1" applyFill="1" applyBorder="1" applyAlignment="1">
      <alignment horizontal="right"/>
    </xf>
    <xf numFmtId="3" fontId="49" fillId="4" borderId="86" xfId="0" applyNumberFormat="1" applyFont="1" applyFill="1" applyBorder="1" applyAlignment="1">
      <alignment horizontal="right"/>
    </xf>
    <xf numFmtId="0" fontId="20" fillId="5" borderId="1" xfId="0" applyNumberFormat="1" applyFont="1" applyFill="1" applyBorder="1" applyAlignment="1" applyProtection="1">
      <alignment wrapText="1"/>
      <protection locked="0"/>
    </xf>
    <xf numFmtId="0" fontId="17" fillId="5" borderId="32" xfId="0" applyNumberFormat="1" applyFont="1" applyFill="1" applyBorder="1" applyAlignment="1" applyProtection="1">
      <alignment horizontal="center" vertical="center"/>
    </xf>
    <xf numFmtId="0" fontId="17" fillId="5" borderId="33" xfId="0" applyNumberFormat="1" applyFont="1" applyFill="1" applyBorder="1" applyAlignment="1" applyProtection="1">
      <alignment horizontal="center" vertical="center"/>
    </xf>
    <xf numFmtId="0" fontId="17" fillId="5" borderId="33" xfId="0" applyNumberFormat="1" applyFont="1" applyFill="1" applyBorder="1" applyAlignment="1" applyProtection="1">
      <alignment horizontal="left" vertical="center" wrapText="1"/>
    </xf>
    <xf numFmtId="0" fontId="17" fillId="5" borderId="33" xfId="0" applyNumberFormat="1" applyFont="1" applyFill="1" applyBorder="1" applyAlignment="1" applyProtection="1">
      <alignment horizontal="left" vertical="center"/>
    </xf>
    <xf numFmtId="0" fontId="17" fillId="5" borderId="33" xfId="0" applyNumberFormat="1" applyFont="1" applyFill="1" applyBorder="1" applyAlignment="1" applyProtection="1">
      <alignment horizontal="right" vertical="center"/>
    </xf>
    <xf numFmtId="3" fontId="17" fillId="5" borderId="33" xfId="0" applyNumberFormat="1" applyFont="1" applyFill="1" applyBorder="1" applyAlignment="1" applyProtection="1">
      <alignment horizontal="right" vertical="center"/>
    </xf>
    <xf numFmtId="3" fontId="17" fillId="5" borderId="6" xfId="0" applyNumberFormat="1" applyFont="1" applyFill="1" applyBorder="1" applyAlignment="1" applyProtection="1">
      <alignment horizontal="right" vertical="center"/>
    </xf>
    <xf numFmtId="0" fontId="20" fillId="5" borderId="0" xfId="0" applyFont="1" applyFill="1"/>
    <xf numFmtId="165" fontId="75" fillId="4" borderId="1" xfId="78" applyNumberFormat="1" applyFont="1" applyFill="1" applyBorder="1" applyAlignment="1" applyProtection="1">
      <alignment wrapText="1"/>
      <protection locked="0"/>
    </xf>
    <xf numFmtId="165" fontId="124" fillId="3" borderId="11" xfId="78" applyNumberFormat="1" applyFont="1" applyFill="1" applyBorder="1" applyAlignment="1" applyProtection="1">
      <alignment horizontal="center" vertical="center" wrapText="1"/>
    </xf>
    <xf numFmtId="165" fontId="124" fillId="3" borderId="14" xfId="78" applyNumberFormat="1" applyFont="1" applyFill="1" applyBorder="1" applyAlignment="1" applyProtection="1">
      <alignment horizontal="center" vertical="center"/>
    </xf>
    <xf numFmtId="165" fontId="124" fillId="4" borderId="17" xfId="78" applyNumberFormat="1" applyFont="1" applyFill="1" applyBorder="1" applyAlignment="1" applyProtection="1">
      <alignment horizontal="center" vertical="center"/>
    </xf>
    <xf numFmtId="165" fontId="75" fillId="2" borderId="33" xfId="78" applyNumberFormat="1" applyFont="1" applyFill="1" applyBorder="1" applyAlignment="1" applyProtection="1">
      <alignment horizontal="right" vertical="center"/>
    </xf>
    <xf numFmtId="165" fontId="75" fillId="5" borderId="33" xfId="78" applyNumberFormat="1" applyFont="1" applyFill="1" applyBorder="1" applyAlignment="1" applyProtection="1">
      <alignment horizontal="right" vertical="center"/>
    </xf>
    <xf numFmtId="165" fontId="75" fillId="5" borderId="0" xfId="0" applyNumberFormat="1" applyFont="1" applyFill="1"/>
    <xf numFmtId="165" fontId="34" fillId="0" borderId="33" xfId="77" applyNumberFormat="1" applyFont="1" applyFill="1" applyBorder="1" applyAlignment="1" applyProtection="1">
      <alignment horizontal="right" vertical="center"/>
    </xf>
    <xf numFmtId="0" fontId="56" fillId="4" borderId="1" xfId="7" applyNumberFormat="1" applyFont="1" applyFill="1" applyBorder="1" applyAlignment="1" applyProtection="1">
      <alignment wrapText="1"/>
      <protection locked="0"/>
    </xf>
    <xf numFmtId="0" fontId="163" fillId="4" borderId="1" xfId="7" applyNumberFormat="1" applyFont="1" applyFill="1" applyBorder="1" applyAlignment="1" applyProtection="1">
      <alignment horizontal="left" vertical="top"/>
    </xf>
    <xf numFmtId="3" fontId="50" fillId="4" borderId="33" xfId="0" applyNumberFormat="1" applyFont="1" applyFill="1" applyBorder="1" applyAlignment="1" applyProtection="1">
      <alignment horizontal="right" vertical="center"/>
    </xf>
    <xf numFmtId="3" fontId="50" fillId="4" borderId="33" xfId="0" applyNumberFormat="1" applyFont="1" applyFill="1" applyBorder="1" applyAlignment="1" applyProtection="1">
      <alignment horizontal="left" vertical="center"/>
    </xf>
    <xf numFmtId="0" fontId="142" fillId="7" borderId="32" xfId="0" applyNumberFormat="1" applyFont="1" applyFill="1" applyBorder="1" applyAlignment="1" applyProtection="1">
      <alignment horizontal="center" vertical="center"/>
    </xf>
    <xf numFmtId="0" fontId="142" fillId="7" borderId="33" xfId="0" applyNumberFormat="1" applyFont="1" applyFill="1" applyBorder="1" applyAlignment="1" applyProtection="1">
      <alignment horizontal="center" vertical="center"/>
    </xf>
    <xf numFmtId="0" fontId="142" fillId="7" borderId="33" xfId="0" applyNumberFormat="1" applyFont="1" applyFill="1" applyBorder="1" applyAlignment="1" applyProtection="1">
      <alignment horizontal="left" vertical="center" wrapText="1"/>
    </xf>
    <xf numFmtId="0" fontId="142" fillId="4" borderId="33" xfId="0" applyNumberFormat="1" applyFont="1" applyFill="1" applyBorder="1" applyAlignment="1" applyProtection="1">
      <alignment horizontal="center" vertical="center"/>
    </xf>
    <xf numFmtId="0" fontId="152" fillId="7" borderId="33" xfId="0" applyNumberFormat="1" applyFont="1" applyFill="1" applyBorder="1" applyAlignment="1" applyProtection="1">
      <alignment horizontal="left" vertical="center"/>
    </xf>
    <xf numFmtId="3" fontId="152" fillId="7" borderId="33" xfId="0" applyNumberFormat="1" applyFont="1" applyFill="1" applyBorder="1" applyAlignment="1" applyProtection="1">
      <alignment horizontal="right" vertical="center"/>
    </xf>
    <xf numFmtId="3" fontId="60" fillId="2" borderId="25" xfId="0" applyNumberFormat="1" applyFont="1" applyFill="1" applyBorder="1" applyAlignment="1" applyProtection="1">
      <alignment horizontal="right" vertical="center"/>
    </xf>
    <xf numFmtId="165" fontId="154" fillId="4" borderId="50" xfId="568" applyNumberFormat="1" applyFont="1" applyBorder="1" applyAlignment="1"/>
    <xf numFmtId="3" fontId="152" fillId="4" borderId="6" xfId="0" applyNumberFormat="1" applyFont="1" applyFill="1" applyBorder="1" applyAlignment="1" applyProtection="1">
      <alignment horizontal="right" vertical="center"/>
    </xf>
    <xf numFmtId="3" fontId="50" fillId="4" borderId="33" xfId="0" applyNumberFormat="1" applyFont="1" applyFill="1" applyBorder="1" applyAlignment="1" applyProtection="1">
      <alignment vertical="center"/>
    </xf>
    <xf numFmtId="0" fontId="29" fillId="4" borderId="1" xfId="14" applyNumberFormat="1" applyFont="1" applyFill="1" applyBorder="1" applyAlignment="1" applyProtection="1">
      <alignment wrapText="1"/>
      <protection locked="0"/>
    </xf>
    <xf numFmtId="0" fontId="122" fillId="4" borderId="1" xfId="14" applyNumberFormat="1" applyFont="1" applyFill="1" applyBorder="1" applyAlignment="1" applyProtection="1">
      <alignment horizontal="left" vertical="top"/>
    </xf>
    <xf numFmtId="0" fontId="122" fillId="4" borderId="60" xfId="0" applyNumberFormat="1" applyFont="1" applyFill="1" applyBorder="1" applyAlignment="1" applyProtection="1">
      <alignment horizontal="center" vertical="center"/>
    </xf>
    <xf numFmtId="0" fontId="49" fillId="4" borderId="33" xfId="0" applyNumberFormat="1" applyFont="1" applyFill="1" applyBorder="1" applyAlignment="1" applyProtection="1">
      <alignment horizontal="left" vertical="center"/>
    </xf>
    <xf numFmtId="0" fontId="122" fillId="4" borderId="33" xfId="0" applyNumberFormat="1" applyFont="1" applyFill="1" applyBorder="1" applyAlignment="1" applyProtection="1">
      <alignment horizontal="center" vertical="center"/>
    </xf>
    <xf numFmtId="0" fontId="122" fillId="4" borderId="33" xfId="0" applyNumberFormat="1" applyFont="1" applyFill="1" applyBorder="1" applyAlignment="1" applyProtection="1">
      <alignment horizontal="left" vertical="center" wrapText="1"/>
    </xf>
    <xf numFmtId="0" fontId="122" fillId="4" borderId="33" xfId="0" applyNumberFormat="1" applyFont="1" applyFill="1" applyBorder="1" applyAlignment="1" applyProtection="1">
      <alignment horizontal="left" vertical="center"/>
    </xf>
    <xf numFmtId="3" fontId="122" fillId="4" borderId="33" xfId="0" applyNumberFormat="1" applyFont="1" applyFill="1" applyBorder="1" applyAlignment="1" applyProtection="1">
      <alignment horizontal="right" vertical="center"/>
    </xf>
    <xf numFmtId="165" fontId="122" fillId="4" borderId="33" xfId="0" applyNumberFormat="1" applyFont="1" applyFill="1" applyBorder="1" applyAlignment="1" applyProtection="1">
      <alignment horizontal="right" vertical="center"/>
    </xf>
    <xf numFmtId="3" fontId="122" fillId="4" borderId="61" xfId="0" applyNumberFormat="1" applyFont="1" applyFill="1" applyBorder="1" applyAlignment="1" applyProtection="1">
      <alignment horizontal="right" vertical="center"/>
    </xf>
    <xf numFmtId="0" fontId="29" fillId="0" borderId="1" xfId="0" applyFont="1" applyBorder="1"/>
    <xf numFmtId="0" fontId="122" fillId="4" borderId="52" xfId="0" applyNumberFormat="1" applyFont="1" applyFill="1" applyBorder="1" applyAlignment="1" applyProtection="1">
      <alignment horizontal="left" vertical="center"/>
    </xf>
    <xf numFmtId="0" fontId="122" fillId="4" borderId="52" xfId="0" applyNumberFormat="1" applyFont="1" applyFill="1" applyBorder="1" applyAlignment="1" applyProtection="1">
      <alignment horizontal="center" vertical="center"/>
    </xf>
    <xf numFmtId="0" fontId="122" fillId="4" borderId="52" xfId="0" applyNumberFormat="1" applyFont="1" applyFill="1" applyBorder="1" applyAlignment="1" applyProtection="1">
      <alignment horizontal="left" vertical="center" wrapText="1"/>
    </xf>
    <xf numFmtId="3" fontId="122" fillId="4" borderId="52" xfId="0" applyNumberFormat="1" applyFont="1" applyFill="1" applyBorder="1" applyAlignment="1" applyProtection="1">
      <alignment horizontal="right" vertical="center"/>
    </xf>
    <xf numFmtId="3" fontId="122" fillId="4" borderId="79" xfId="0" applyNumberFormat="1" applyFont="1" applyFill="1" applyBorder="1" applyAlignment="1" applyProtection="1">
      <alignment horizontal="right" vertical="center"/>
    </xf>
    <xf numFmtId="0" fontId="122" fillId="4" borderId="50" xfId="0" applyNumberFormat="1" applyFont="1" applyFill="1" applyBorder="1" applyAlignment="1" applyProtection="1">
      <alignment horizontal="left" vertical="center"/>
    </xf>
    <xf numFmtId="0" fontId="122" fillId="4" borderId="50" xfId="0" applyNumberFormat="1" applyFont="1" applyFill="1" applyBorder="1" applyAlignment="1" applyProtection="1">
      <alignment horizontal="center" vertical="center"/>
    </xf>
    <xf numFmtId="0" fontId="122" fillId="4" borderId="50" xfId="0" applyNumberFormat="1" applyFont="1" applyFill="1" applyBorder="1" applyAlignment="1" applyProtection="1">
      <alignment horizontal="left" vertical="center" wrapText="1"/>
    </xf>
    <xf numFmtId="3" fontId="122" fillId="4" borderId="50" xfId="0" applyNumberFormat="1" applyFont="1" applyFill="1" applyBorder="1" applyAlignment="1" applyProtection="1">
      <alignment horizontal="right" vertical="center"/>
    </xf>
    <xf numFmtId="165" fontId="62" fillId="4" borderId="50" xfId="538" applyNumberFormat="1" applyFont="1" applyBorder="1" applyAlignment="1">
      <alignment vertical="center" wrapText="1"/>
    </xf>
    <xf numFmtId="0" fontId="122" fillId="4" borderId="72" xfId="0" applyNumberFormat="1" applyFont="1" applyFill="1" applyBorder="1" applyAlignment="1" applyProtection="1">
      <alignment horizontal="center" vertical="center"/>
    </xf>
    <xf numFmtId="0" fontId="122" fillId="4" borderId="135" xfId="0" applyNumberFormat="1" applyFont="1" applyFill="1" applyBorder="1" applyAlignment="1" applyProtection="1">
      <alignment horizontal="left" vertical="center"/>
    </xf>
    <xf numFmtId="0" fontId="122" fillId="4" borderId="135" xfId="0" applyNumberFormat="1" applyFont="1" applyFill="1" applyBorder="1" applyAlignment="1" applyProtection="1">
      <alignment horizontal="center" vertical="center"/>
    </xf>
    <xf numFmtId="0" fontId="122" fillId="4" borderId="135" xfId="0" applyNumberFormat="1" applyFont="1" applyFill="1" applyBorder="1" applyAlignment="1" applyProtection="1">
      <alignment horizontal="left" vertical="center" wrapText="1"/>
    </xf>
    <xf numFmtId="3" fontId="122" fillId="4" borderId="135" xfId="0" applyNumberFormat="1" applyFont="1" applyFill="1" applyBorder="1" applyAlignment="1" applyProtection="1">
      <alignment horizontal="right" vertical="center"/>
    </xf>
    <xf numFmtId="0" fontId="166" fillId="4" borderId="33" xfId="0" applyNumberFormat="1" applyFont="1" applyFill="1" applyBorder="1" applyAlignment="1" applyProtection="1">
      <alignment horizontal="center" vertical="center"/>
    </xf>
    <xf numFmtId="0" fontId="166" fillId="4" borderId="33" xfId="0" applyNumberFormat="1" applyFont="1" applyFill="1" applyBorder="1" applyAlignment="1" applyProtection="1">
      <alignment horizontal="left" vertical="center"/>
    </xf>
    <xf numFmtId="3" fontId="166" fillId="4" borderId="33" xfId="0" applyNumberFormat="1" applyFont="1" applyFill="1" applyBorder="1" applyAlignment="1" applyProtection="1">
      <alignment horizontal="right" vertical="center"/>
    </xf>
    <xf numFmtId="3" fontId="165" fillId="4" borderId="6" xfId="0" applyNumberFormat="1" applyFont="1" applyFill="1" applyBorder="1" applyAlignment="1" applyProtection="1">
      <alignment horizontal="right" vertical="center"/>
    </xf>
    <xf numFmtId="3" fontId="166" fillId="4" borderId="6" xfId="0" applyNumberFormat="1" applyFont="1" applyFill="1" applyBorder="1" applyAlignment="1" applyProtection="1">
      <alignment horizontal="right" vertical="center"/>
    </xf>
    <xf numFmtId="165" fontId="43" fillId="4" borderId="50" xfId="548" applyNumberFormat="1" applyFont="1" applyBorder="1"/>
    <xf numFmtId="165" fontId="43" fillId="4" borderId="50" xfId="548" applyNumberFormat="1" applyFont="1" applyBorder="1" applyAlignment="1"/>
    <xf numFmtId="0" fontId="166" fillId="4" borderId="33" xfId="0" applyNumberFormat="1" applyFont="1" applyFill="1" applyBorder="1" applyAlignment="1" applyProtection="1">
      <alignment horizontal="left" vertical="center" wrapText="1"/>
    </xf>
    <xf numFmtId="0" fontId="36" fillId="4" borderId="0" xfId="0" applyFont="1" applyFill="1" applyAlignment="1" applyProtection="1">
      <alignment wrapText="1"/>
      <protection locked="0"/>
    </xf>
    <xf numFmtId="0" fontId="167" fillId="4" borderId="1" xfId="0" applyFont="1" applyFill="1" applyBorder="1" applyAlignment="1">
      <alignment horizontal="left" vertical="top"/>
    </xf>
    <xf numFmtId="0" fontId="36" fillId="4" borderId="0" xfId="0" applyFont="1" applyFill="1"/>
    <xf numFmtId="0" fontId="169" fillId="4" borderId="50" xfId="0" applyFont="1" applyFill="1" applyBorder="1" applyAlignment="1">
      <alignment horizontal="center" vertical="center"/>
    </xf>
    <xf numFmtId="0" fontId="169" fillId="4" borderId="50" xfId="0" applyFont="1" applyFill="1" applyBorder="1" applyAlignment="1">
      <alignment horizontal="left" vertical="center" wrapText="1"/>
    </xf>
    <xf numFmtId="3" fontId="169" fillId="4" borderId="50" xfId="0" applyNumberFormat="1" applyFont="1" applyFill="1" applyBorder="1" applyAlignment="1">
      <alignment horizontal="right" vertical="center"/>
    </xf>
    <xf numFmtId="3" fontId="169" fillId="0" borderId="50" xfId="0" applyNumberFormat="1" applyFont="1" applyBorder="1" applyAlignment="1">
      <alignment horizontal="right" vertical="center"/>
    </xf>
    <xf numFmtId="3" fontId="169" fillId="4" borderId="50" xfId="0" applyNumberFormat="1" applyFont="1" applyFill="1" applyBorder="1" applyAlignment="1">
      <alignment vertical="center"/>
    </xf>
    <xf numFmtId="0" fontId="169" fillId="4" borderId="50" xfId="0" applyFont="1" applyFill="1" applyBorder="1" applyAlignment="1">
      <alignment horizontal="left" vertical="center"/>
    </xf>
    <xf numFmtId="4" fontId="169" fillId="4" borderId="50" xfId="0" applyNumberFormat="1" applyFont="1" applyFill="1" applyBorder="1" applyAlignment="1">
      <alignment horizontal="right" vertical="center"/>
    </xf>
    <xf numFmtId="0" fontId="169" fillId="4" borderId="33" xfId="0" quotePrefix="1" applyNumberFormat="1" applyFont="1" applyFill="1" applyBorder="1" applyAlignment="1" applyProtection="1">
      <alignment horizontal="center" vertical="center"/>
    </xf>
    <xf numFmtId="0" fontId="169" fillId="4" borderId="33" xfId="0" applyNumberFormat="1" applyFont="1" applyFill="1" applyBorder="1" applyAlignment="1" applyProtection="1">
      <alignment horizontal="left" vertical="center"/>
    </xf>
    <xf numFmtId="0" fontId="169" fillId="4" borderId="33" xfId="0" applyNumberFormat="1" applyFont="1" applyFill="1" applyBorder="1" applyAlignment="1" applyProtection="1">
      <alignment horizontal="center" vertical="center"/>
    </xf>
    <xf numFmtId="3" fontId="170" fillId="4" borderId="50" xfId="0" applyNumberFormat="1" applyFont="1" applyFill="1" applyBorder="1" applyAlignment="1" applyProtection="1">
      <alignment horizontal="right" vertical="center"/>
    </xf>
    <xf numFmtId="4" fontId="171" fillId="4" borderId="50" xfId="0" applyNumberFormat="1" applyFont="1" applyFill="1" applyBorder="1" applyAlignment="1">
      <alignment horizontal="right" vertical="center"/>
    </xf>
    <xf numFmtId="165" fontId="57" fillId="4" borderId="50" xfId="556" applyNumberFormat="1" applyFont="1" applyBorder="1" applyAlignment="1"/>
    <xf numFmtId="0" fontId="169" fillId="4" borderId="33" xfId="0" applyNumberFormat="1" applyFont="1" applyFill="1" applyBorder="1" applyAlignment="1" applyProtection="1">
      <alignment horizontal="left" vertical="center" wrapText="1"/>
    </xf>
    <xf numFmtId="3" fontId="6" fillId="0" borderId="50" xfId="0" applyNumberFormat="1" applyFont="1" applyBorder="1" applyAlignment="1">
      <alignment horizontal="right" vertical="center"/>
    </xf>
    <xf numFmtId="3" fontId="171" fillId="4" borderId="50" xfId="0" applyNumberFormat="1" applyFont="1" applyFill="1" applyBorder="1" applyAlignment="1">
      <alignment horizontal="right" vertical="center"/>
    </xf>
    <xf numFmtId="0" fontId="172" fillId="4" borderId="0" xfId="0" applyFont="1" applyFill="1"/>
    <xf numFmtId="0" fontId="122" fillId="4" borderId="1" xfId="11" applyNumberFormat="1" applyFont="1" applyFill="1" applyBorder="1" applyAlignment="1" applyProtection="1">
      <alignment wrapText="1"/>
      <protection locked="0"/>
    </xf>
    <xf numFmtId="0" fontId="33" fillId="4" borderId="1" xfId="11" applyNumberFormat="1" applyFont="1" applyFill="1" applyBorder="1" applyAlignment="1" applyProtection="1">
      <alignment horizontal="left" vertical="top"/>
    </xf>
    <xf numFmtId="0" fontId="122" fillId="0" borderId="0" xfId="0" applyFont="1"/>
    <xf numFmtId="0" fontId="29" fillId="4" borderId="1" xfId="11" applyNumberFormat="1" applyFont="1" applyFill="1" applyBorder="1" applyAlignment="1" applyProtection="1">
      <alignment wrapText="1"/>
      <protection locked="0"/>
    </xf>
    <xf numFmtId="0" fontId="173" fillId="4" borderId="1" xfId="11" applyNumberFormat="1" applyFont="1" applyFill="1" applyBorder="1" applyAlignment="1" applyProtection="1">
      <alignment horizontal="left" vertical="center"/>
    </xf>
    <xf numFmtId="0" fontId="166" fillId="4" borderId="32" xfId="11" applyNumberFormat="1" applyFont="1" applyFill="1" applyBorder="1" applyAlignment="1" applyProtection="1">
      <alignment horizontal="center" vertical="center"/>
    </xf>
    <xf numFmtId="0" fontId="166" fillId="4" borderId="33" xfId="11" applyNumberFormat="1" applyFont="1" applyFill="1" applyBorder="1" applyAlignment="1" applyProtection="1">
      <alignment horizontal="center" vertical="center"/>
    </xf>
    <xf numFmtId="0" fontId="166" fillId="4" borderId="33" xfId="11" applyNumberFormat="1" applyFont="1" applyFill="1" applyBorder="1" applyAlignment="1" applyProtection="1">
      <alignment horizontal="left" vertical="center"/>
    </xf>
    <xf numFmtId="0" fontId="166" fillId="4" borderId="33" xfId="11" applyNumberFormat="1" applyFont="1" applyFill="1" applyBorder="1" applyAlignment="1" applyProtection="1">
      <alignment horizontal="left" vertical="center" wrapText="1"/>
    </xf>
    <xf numFmtId="3" fontId="166" fillId="4" borderId="33" xfId="11" applyNumberFormat="1" applyFont="1" applyFill="1" applyBorder="1" applyAlignment="1" applyProtection="1">
      <alignment horizontal="right" vertical="center"/>
    </xf>
    <xf numFmtId="3" fontId="166" fillId="4" borderId="6" xfId="11" applyNumberFormat="1" applyFont="1" applyFill="1" applyBorder="1" applyAlignment="1" applyProtection="1">
      <alignment horizontal="right" vertical="center"/>
    </xf>
    <xf numFmtId="0" fontId="166" fillId="4" borderId="57" xfId="11" applyNumberFormat="1" applyFont="1" applyFill="1" applyBorder="1" applyAlignment="1" applyProtection="1">
      <alignment horizontal="center" vertical="center"/>
    </xf>
    <xf numFmtId="0" fontId="166" fillId="4" borderId="58" xfId="11" applyNumberFormat="1" applyFont="1" applyFill="1" applyBorder="1" applyAlignment="1" applyProtection="1">
      <alignment horizontal="center" vertical="center"/>
    </xf>
    <xf numFmtId="0" fontId="166" fillId="4" borderId="58" xfId="11" applyNumberFormat="1" applyFont="1" applyFill="1" applyBorder="1" applyAlignment="1" applyProtection="1">
      <alignment horizontal="left" vertical="center"/>
    </xf>
    <xf numFmtId="0" fontId="166" fillId="4" borderId="58" xfId="11" applyNumberFormat="1" applyFont="1" applyFill="1" applyBorder="1" applyAlignment="1" applyProtection="1">
      <alignment horizontal="left" vertical="center" wrapText="1"/>
    </xf>
    <xf numFmtId="3" fontId="166" fillId="4" borderId="58" xfId="11" applyNumberFormat="1" applyFont="1" applyFill="1" applyBorder="1" applyAlignment="1" applyProtection="1">
      <alignment horizontal="right" vertical="center"/>
    </xf>
    <xf numFmtId="0" fontId="166" fillId="4" borderId="32" xfId="0" applyNumberFormat="1" applyFont="1" applyFill="1" applyBorder="1" applyAlignment="1" applyProtection="1">
      <alignment horizontal="center" vertical="center"/>
    </xf>
    <xf numFmtId="3" fontId="165" fillId="4" borderId="33" xfId="0" applyNumberFormat="1" applyFont="1" applyFill="1" applyBorder="1" applyAlignment="1" applyProtection="1">
      <alignment horizontal="right" vertical="center"/>
    </xf>
    <xf numFmtId="3" fontId="166" fillId="0" borderId="33" xfId="0" applyNumberFormat="1" applyFont="1" applyFill="1" applyBorder="1" applyAlignment="1" applyProtection="1">
      <alignment horizontal="right" vertical="center"/>
    </xf>
    <xf numFmtId="9" fontId="166" fillId="4" borderId="33" xfId="449" applyFont="1" applyFill="1" applyBorder="1" applyAlignment="1" applyProtection="1">
      <alignment horizontal="right" vertical="center"/>
    </xf>
    <xf numFmtId="9" fontId="166" fillId="0" borderId="33" xfId="449" applyFont="1" applyFill="1" applyBorder="1" applyAlignment="1" applyProtection="1">
      <alignment horizontal="right" vertical="center"/>
    </xf>
    <xf numFmtId="9" fontId="166" fillId="4" borderId="6" xfId="449" applyFont="1" applyFill="1" applyBorder="1" applyAlignment="1" applyProtection="1">
      <alignment horizontal="right" vertical="center"/>
    </xf>
    <xf numFmtId="0" fontId="166" fillId="4" borderId="33" xfId="0" quotePrefix="1" applyNumberFormat="1" applyFont="1" applyFill="1" applyBorder="1" applyAlignment="1" applyProtection="1">
      <alignment horizontal="center" vertical="center"/>
    </xf>
    <xf numFmtId="165" fontId="43" fillId="4" borderId="50" xfId="558" applyNumberFormat="1" applyFont="1" applyBorder="1"/>
    <xf numFmtId="165" fontId="43" fillId="4" borderId="50" xfId="558" applyNumberFormat="1" applyFont="1" applyBorder="1" applyAlignment="1"/>
    <xf numFmtId="0" fontId="135" fillId="4" borderId="49" xfId="102" applyNumberFormat="1" applyFont="1" applyFill="1" applyBorder="1" applyAlignment="1" applyProtection="1">
      <alignment horizontal="left" vertical="center" wrapText="1"/>
    </xf>
    <xf numFmtId="0" fontId="135" fillId="2" borderId="49" xfId="102" applyNumberFormat="1" applyFont="1" applyFill="1" applyBorder="1" applyAlignment="1" applyProtection="1">
      <alignment horizontal="left" vertical="center" wrapText="1"/>
    </xf>
    <xf numFmtId="0" fontId="132" fillId="3" borderId="52" xfId="102" applyNumberFormat="1" applyFont="1" applyFill="1" applyBorder="1" applyAlignment="1" applyProtection="1">
      <alignment horizontal="center" vertical="center"/>
    </xf>
    <xf numFmtId="0" fontId="132" fillId="3" borderId="158" xfId="102" applyNumberFormat="1" applyFont="1" applyFill="1" applyBorder="1" applyAlignment="1" applyProtection="1">
      <alignment horizontal="center" vertical="center"/>
    </xf>
    <xf numFmtId="0" fontId="134" fillId="4" borderId="50" xfId="102" applyNumberFormat="1" applyFont="1" applyFill="1" applyBorder="1" applyAlignment="1" applyProtection="1">
      <alignment horizontal="center" vertical="center"/>
    </xf>
    <xf numFmtId="0" fontId="132" fillId="4" borderId="50" xfId="102" applyNumberFormat="1" applyFont="1" applyFill="1" applyBorder="1" applyAlignment="1" applyProtection="1">
      <alignment horizontal="center" vertical="center"/>
    </xf>
    <xf numFmtId="0" fontId="135" fillId="4" borderId="50" xfId="102" applyNumberFormat="1" applyFont="1" applyFill="1" applyBorder="1" applyAlignment="1" applyProtection="1">
      <alignment horizontal="left" vertical="center"/>
    </xf>
    <xf numFmtId="3" fontId="135" fillId="4" borderId="50" xfId="102" applyNumberFormat="1" applyFont="1" applyFill="1" applyBorder="1" applyAlignment="1" applyProtection="1">
      <alignment horizontal="right" vertical="center"/>
    </xf>
    <xf numFmtId="0" fontId="135" fillId="4" borderId="50" xfId="102" applyNumberFormat="1" applyFont="1" applyFill="1" applyBorder="1" applyAlignment="1" applyProtection="1">
      <alignment horizontal="right" vertical="center"/>
    </xf>
    <xf numFmtId="165" fontId="135" fillId="4" borderId="50" xfId="77" applyNumberFormat="1" applyFont="1" applyFill="1" applyBorder="1" applyAlignment="1" applyProtection="1">
      <alignment horizontal="right" vertical="center"/>
    </xf>
    <xf numFmtId="3" fontId="143" fillId="4" borderId="50" xfId="102" applyNumberFormat="1" applyFont="1" applyFill="1" applyBorder="1" applyAlignment="1" applyProtection="1">
      <alignment horizontal="right" vertical="center"/>
    </xf>
    <xf numFmtId="165" fontId="142" fillId="5" borderId="50" xfId="77" applyNumberFormat="1" applyFont="1" applyFill="1" applyBorder="1" applyAlignment="1" applyProtection="1">
      <alignment horizontal="right" vertical="center" wrapText="1"/>
    </xf>
    <xf numFmtId="1" fontId="135" fillId="4" borderId="50" xfId="102" applyNumberFormat="1" applyFont="1" applyFill="1" applyBorder="1" applyAlignment="1" applyProtection="1">
      <alignment horizontal="right" vertical="center"/>
    </xf>
    <xf numFmtId="3" fontId="143" fillId="5" borderId="50" xfId="102" applyNumberFormat="1" applyFont="1" applyFill="1" applyBorder="1" applyAlignment="1" applyProtection="1">
      <alignment horizontal="right" vertical="center"/>
    </xf>
    <xf numFmtId="165" fontId="135" fillId="5" borderId="50" xfId="77" applyNumberFormat="1" applyFont="1" applyFill="1" applyBorder="1" applyAlignment="1" applyProtection="1">
      <alignment horizontal="right" vertical="center"/>
    </xf>
    <xf numFmtId="3" fontId="127" fillId="4" borderId="50" xfId="102" applyNumberFormat="1" applyFont="1" applyFill="1" applyBorder="1" applyAlignment="1" applyProtection="1">
      <alignment horizontal="right" vertical="center"/>
    </xf>
    <xf numFmtId="165" fontId="135" fillId="4" borderId="50" xfId="102" applyNumberFormat="1" applyFont="1" applyFill="1" applyBorder="1" applyAlignment="1" applyProtection="1">
      <alignment horizontal="right" vertical="center"/>
    </xf>
    <xf numFmtId="43" fontId="135" fillId="4" borderId="50" xfId="102" applyNumberFormat="1" applyFont="1" applyFill="1" applyBorder="1" applyAlignment="1" applyProtection="1">
      <alignment horizontal="right" vertical="center"/>
    </xf>
    <xf numFmtId="167" fontId="135" fillId="4" borderId="50" xfId="102" applyNumberFormat="1" applyFont="1" applyFill="1" applyBorder="1" applyAlignment="1" applyProtection="1">
      <alignment horizontal="right" vertical="center"/>
    </xf>
    <xf numFmtId="165" fontId="127" fillId="4" borderId="50" xfId="77" applyNumberFormat="1" applyFont="1" applyFill="1" applyBorder="1" applyAlignment="1" applyProtection="1">
      <alignment horizontal="right" vertical="center"/>
    </xf>
    <xf numFmtId="2" fontId="135" fillId="4" borderId="50" xfId="102" applyNumberFormat="1" applyFont="1" applyFill="1" applyBorder="1" applyAlignment="1" applyProtection="1">
      <alignment horizontal="right" vertical="center"/>
    </xf>
    <xf numFmtId="3" fontId="134" fillId="4" borderId="50" xfId="102" applyNumberFormat="1" applyFont="1" applyFill="1" applyBorder="1" applyAlignment="1" applyProtection="1">
      <alignment horizontal="center" vertical="center"/>
    </xf>
    <xf numFmtId="0" fontId="135" fillId="2" borderId="50" xfId="102" applyNumberFormat="1" applyFont="1" applyFill="1" applyBorder="1" applyAlignment="1" applyProtection="1">
      <alignment horizontal="left" vertical="center" wrapText="1"/>
    </xf>
    <xf numFmtId="0" fontId="135" fillId="2" borderId="50" xfId="102" applyNumberFormat="1" applyFont="1" applyFill="1" applyBorder="1" applyAlignment="1" applyProtection="1">
      <alignment horizontal="right" vertical="center" wrapText="1"/>
    </xf>
    <xf numFmtId="3" fontId="135" fillId="2" borderId="50" xfId="102" applyNumberFormat="1" applyFont="1" applyFill="1" applyBorder="1" applyAlignment="1" applyProtection="1">
      <alignment horizontal="right" vertical="center" wrapText="1"/>
    </xf>
    <xf numFmtId="3" fontId="143" fillId="2" borderId="50" xfId="102" applyNumberFormat="1" applyFont="1" applyFill="1" applyBorder="1" applyAlignment="1" applyProtection="1">
      <alignment horizontal="right" vertical="center" wrapText="1"/>
    </xf>
    <xf numFmtId="0" fontId="135" fillId="0" borderId="32" xfId="102" applyNumberFormat="1" applyFont="1" applyFill="1" applyBorder="1" applyAlignment="1" applyProtection="1">
      <alignment horizontal="center" vertical="center"/>
    </xf>
    <xf numFmtId="0" fontId="135" fillId="0" borderId="49" xfId="102" applyNumberFormat="1" applyFont="1" applyFill="1" applyBorder="1" applyAlignment="1" applyProtection="1">
      <alignment horizontal="left" vertical="center" wrapText="1"/>
    </xf>
    <xf numFmtId="0" fontId="135" fillId="0" borderId="50" xfId="102" applyNumberFormat="1" applyFont="1" applyFill="1" applyBorder="1" applyAlignment="1" applyProtection="1">
      <alignment horizontal="left" vertical="center"/>
    </xf>
    <xf numFmtId="3" fontId="135" fillId="0" borderId="50" xfId="102" applyNumberFormat="1" applyFont="1" applyFill="1" applyBorder="1" applyAlignment="1" applyProtection="1">
      <alignment horizontal="right" vertical="center"/>
    </xf>
    <xf numFmtId="0" fontId="135" fillId="0" borderId="50" xfId="102" applyNumberFormat="1" applyFont="1" applyFill="1" applyBorder="1" applyAlignment="1" applyProtection="1">
      <alignment horizontal="right" vertical="center"/>
    </xf>
    <xf numFmtId="165" fontId="135" fillId="0" borderId="50" xfId="77" applyNumberFormat="1" applyFont="1" applyFill="1" applyBorder="1" applyAlignment="1" applyProtection="1">
      <alignment horizontal="right" vertical="center"/>
    </xf>
    <xf numFmtId="2" fontId="135" fillId="0" borderId="50" xfId="102" applyNumberFormat="1" applyFont="1" applyFill="1" applyBorder="1" applyAlignment="1" applyProtection="1">
      <alignment horizontal="right" vertical="center"/>
    </xf>
    <xf numFmtId="3" fontId="143" fillId="0" borderId="50" xfId="102" applyNumberFormat="1" applyFont="1" applyFill="1" applyBorder="1" applyAlignment="1" applyProtection="1">
      <alignment horizontal="right" vertical="center"/>
    </xf>
    <xf numFmtId="0" fontId="20" fillId="0" borderId="0" xfId="0" applyFont="1" applyFill="1"/>
    <xf numFmtId="0" fontId="28" fillId="45" borderId="32" xfId="102" applyNumberFormat="1" applyFont="1" applyFill="1" applyBorder="1" applyAlignment="1" applyProtection="1">
      <alignment horizontal="center" vertical="center" wrapText="1"/>
    </xf>
    <xf numFmtId="0" fontId="28" fillId="45" borderId="33" xfId="102" applyNumberFormat="1" applyFont="1" applyFill="1" applyBorder="1" applyAlignment="1" applyProtection="1">
      <alignment horizontal="left" vertical="center" wrapText="1"/>
    </xf>
    <xf numFmtId="0" fontId="28" fillId="45" borderId="165" xfId="102" applyNumberFormat="1" applyFont="1" applyFill="1" applyBorder="1" applyAlignment="1" applyProtection="1">
      <alignment horizontal="left" vertical="center" wrapText="1"/>
    </xf>
    <xf numFmtId="0" fontId="28" fillId="45" borderId="165" xfId="102" applyNumberFormat="1" applyFont="1" applyFill="1" applyBorder="1" applyAlignment="1" applyProtection="1">
      <alignment horizontal="right" vertical="center" wrapText="1"/>
    </xf>
    <xf numFmtId="3" fontId="28" fillId="45" borderId="165" xfId="102" applyNumberFormat="1" applyFont="1" applyFill="1" applyBorder="1" applyAlignment="1" applyProtection="1">
      <alignment horizontal="right" vertical="center" wrapText="1"/>
    </xf>
    <xf numFmtId="3" fontId="28" fillId="45" borderId="165" xfId="102" applyNumberFormat="1" applyFont="1" applyFill="1" applyBorder="1" applyAlignment="1" applyProtection="1">
      <alignment horizontal="right" vertical="center"/>
    </xf>
    <xf numFmtId="165" fontId="60" fillId="45" borderId="63" xfId="77" applyNumberFormat="1" applyFont="1" applyFill="1" applyBorder="1" applyAlignment="1" applyProtection="1">
      <alignment horizontal="right" vertical="center" wrapText="1"/>
    </xf>
    <xf numFmtId="0" fontId="34" fillId="5" borderId="1" xfId="6" applyNumberFormat="1" applyFont="1" applyFill="1" applyBorder="1" applyAlignment="1" applyProtection="1">
      <alignment horizontal="left" wrapText="1"/>
      <protection locked="0"/>
    </xf>
    <xf numFmtId="165" fontId="34" fillId="5" borderId="50" xfId="6" applyNumberFormat="1" applyFont="1" applyFill="1" applyBorder="1" applyAlignment="1" applyProtection="1">
      <alignment horizontal="left" vertical="center" wrapText="1"/>
    </xf>
    <xf numFmtId="165" fontId="34" fillId="5" borderId="165" xfId="6" applyNumberFormat="1" applyFont="1" applyFill="1" applyBorder="1" applyAlignment="1" applyProtection="1">
      <alignment horizontal="left" vertical="center" wrapText="1"/>
    </xf>
    <xf numFmtId="0" fontId="34" fillId="5" borderId="0" xfId="0" applyFont="1" applyFill="1" applyAlignment="1">
      <alignment horizontal="left"/>
    </xf>
    <xf numFmtId="165" fontId="142" fillId="4" borderId="33" xfId="78" applyNumberFormat="1" applyFont="1" applyFill="1" applyBorder="1" applyAlignment="1" applyProtection="1">
      <alignment horizontal="left" vertical="center" wrapText="1"/>
    </xf>
    <xf numFmtId="165" fontId="124" fillId="5" borderId="33" xfId="78" applyNumberFormat="1" applyFont="1" applyFill="1" applyBorder="1" applyAlignment="1" applyProtection="1">
      <alignment horizontal="right" vertical="center"/>
    </xf>
    <xf numFmtId="0" fontId="122" fillId="4" borderId="1" xfId="10" applyNumberFormat="1" applyFont="1" applyFill="1" applyBorder="1" applyAlignment="1" applyProtection="1">
      <alignment horizontal="left" vertical="top"/>
    </xf>
    <xf numFmtId="0" fontId="123" fillId="3" borderId="41" xfId="10" applyNumberFormat="1" applyFont="1" applyFill="1" applyBorder="1" applyAlignment="1" applyProtection="1">
      <alignment horizontal="left" vertical="center"/>
    </xf>
    <xf numFmtId="0" fontId="124" fillId="3" borderId="44" xfId="10" applyNumberFormat="1" applyFont="1" applyFill="1" applyBorder="1" applyAlignment="1" applyProtection="1">
      <alignment horizontal="right" vertical="center"/>
    </xf>
    <xf numFmtId="164" fontId="124" fillId="3" borderId="45" xfId="10" applyNumberFormat="1" applyFont="1" applyFill="1" applyBorder="1" applyAlignment="1" applyProtection="1">
      <alignment horizontal="left" vertical="center"/>
    </xf>
    <xf numFmtId="0" fontId="124" fillId="3" borderId="9" xfId="10" applyNumberFormat="1" applyFont="1" applyFill="1" applyBorder="1" applyAlignment="1" applyProtection="1">
      <alignment horizontal="center" vertical="center" wrapText="1"/>
    </xf>
    <xf numFmtId="0" fontId="124" fillId="3" borderId="10" xfId="10" applyNumberFormat="1" applyFont="1" applyFill="1" applyBorder="1" applyAlignment="1" applyProtection="1">
      <alignment horizontal="center" vertical="center" wrapText="1"/>
    </xf>
    <xf numFmtId="0" fontId="124" fillId="3" borderId="15" xfId="10" applyNumberFormat="1" applyFont="1" applyFill="1" applyBorder="1" applyAlignment="1" applyProtection="1">
      <alignment horizontal="center" vertical="center"/>
    </xf>
    <xf numFmtId="0" fontId="132" fillId="3" borderId="2" xfId="0" applyNumberFormat="1" applyFont="1" applyFill="1" applyBorder="1" applyAlignment="1" applyProtection="1">
      <alignment horizontal="left" vertical="center" wrapText="1"/>
    </xf>
    <xf numFmtId="0" fontId="132" fillId="3" borderId="151" xfId="0" applyNumberFormat="1" applyFont="1" applyFill="1" applyBorder="1" applyAlignment="1" applyProtection="1">
      <alignment horizontal="center" vertical="center" wrapText="1"/>
    </xf>
    <xf numFmtId="0" fontId="132" fillId="3" borderId="41" xfId="0" applyNumberFormat="1" applyFont="1" applyFill="1" applyBorder="1" applyAlignment="1" applyProtection="1">
      <alignment horizontal="left" vertical="center" wrapText="1"/>
    </xf>
    <xf numFmtId="0" fontId="140" fillId="3" borderId="2" xfId="0" applyNumberFormat="1" applyFont="1" applyFill="1" applyBorder="1" applyAlignment="1" applyProtection="1">
      <alignment horizontal="left" vertical="center" wrapText="1"/>
    </xf>
    <xf numFmtId="0" fontId="140" fillId="3" borderId="3" xfId="0" applyNumberFormat="1" applyFont="1" applyFill="1" applyBorder="1" applyAlignment="1" applyProtection="1">
      <alignment horizontal="left" vertical="center" wrapText="1"/>
    </xf>
    <xf numFmtId="0" fontId="140" fillId="3" borderId="41" xfId="0" applyNumberFormat="1" applyFont="1" applyFill="1" applyBorder="1" applyAlignment="1" applyProtection="1">
      <alignment horizontal="left" vertical="center" wrapText="1"/>
    </xf>
    <xf numFmtId="0" fontId="140" fillId="3" borderId="156" xfId="0" applyNumberFormat="1" applyFont="1" applyFill="1" applyBorder="1" applyAlignment="1" applyProtection="1">
      <alignment horizontal="center" vertical="center" wrapText="1"/>
    </xf>
    <xf numFmtId="0" fontId="140" fillId="3" borderId="5" xfId="0" applyNumberFormat="1" applyFont="1" applyFill="1" applyBorder="1" applyAlignment="1" applyProtection="1">
      <alignment horizontal="center" vertical="center"/>
    </xf>
    <xf numFmtId="0" fontId="140" fillId="3" borderId="15" xfId="0" applyNumberFormat="1" applyFont="1" applyFill="1" applyBorder="1" applyAlignment="1" applyProtection="1">
      <alignment horizontal="center" vertical="center"/>
    </xf>
    <xf numFmtId="0" fontId="39" fillId="7" borderId="33" xfId="0" applyNumberFormat="1" applyFont="1" applyFill="1" applyBorder="1" applyAlignment="1" applyProtection="1">
      <alignment horizontal="left" vertical="center" wrapText="1"/>
    </xf>
    <xf numFmtId="0" fontId="164" fillId="7" borderId="8" xfId="0" applyNumberFormat="1" applyFont="1" applyFill="1" applyBorder="1" applyAlignment="1" applyProtection="1">
      <alignment horizontal="center" vertical="center"/>
    </xf>
    <xf numFmtId="0" fontId="164" fillId="7" borderId="40" xfId="0" applyNumberFormat="1" applyFont="1" applyFill="1" applyBorder="1" applyAlignment="1" applyProtection="1">
      <alignment horizontal="center" vertical="center"/>
    </xf>
    <xf numFmtId="0" fontId="164" fillId="7" borderId="8" xfId="0" applyNumberFormat="1" applyFont="1" applyFill="1" applyBorder="1" applyAlignment="1" applyProtection="1">
      <alignment horizontal="center" vertical="center" wrapText="1"/>
    </xf>
    <xf numFmtId="0" fontId="163" fillId="7" borderId="8" xfId="0" applyNumberFormat="1" applyFont="1" applyFill="1" applyBorder="1" applyAlignment="1" applyProtection="1">
      <alignment horizontal="center" vertical="center" wrapText="1"/>
    </xf>
    <xf numFmtId="0" fontId="164" fillId="7" borderId="40" xfId="0" applyNumberFormat="1" applyFont="1" applyFill="1" applyBorder="1" applyAlignment="1" applyProtection="1">
      <alignment horizontal="center" vertical="center" wrapText="1"/>
    </xf>
    <xf numFmtId="0" fontId="28" fillId="7" borderId="50" xfId="0" applyFont="1" applyFill="1" applyBorder="1" applyAlignment="1">
      <alignment horizontal="left" vertical="center"/>
    </xf>
    <xf numFmtId="0" fontId="27" fillId="7" borderId="50" xfId="0" applyFont="1" applyFill="1" applyBorder="1" applyAlignment="1">
      <alignment horizontal="right" vertical="center"/>
    </xf>
    <xf numFmtId="164" fontId="27" fillId="7" borderId="50" xfId="0" applyNumberFormat="1" applyFont="1" applyFill="1" applyBorder="1" applyAlignment="1">
      <alignment horizontal="left" vertical="center"/>
    </xf>
    <xf numFmtId="0" fontId="27" fillId="7" borderId="50" xfId="0" applyFont="1" applyFill="1" applyBorder="1" applyAlignment="1">
      <alignment horizontal="center" vertical="center" wrapText="1"/>
    </xf>
    <xf numFmtId="0" fontId="27" fillId="7" borderId="50" xfId="0" applyFont="1" applyFill="1" applyBorder="1" applyAlignment="1">
      <alignment horizontal="center" vertical="center"/>
    </xf>
    <xf numFmtId="165" fontId="27" fillId="7" borderId="50" xfId="78" applyNumberFormat="1" applyFont="1" applyFill="1" applyBorder="1" applyAlignment="1">
      <alignment horizontal="center" vertical="center"/>
    </xf>
    <xf numFmtId="0" fontId="123" fillId="7" borderId="132" xfId="0" applyNumberFormat="1" applyFont="1" applyFill="1" applyBorder="1" applyAlignment="1" applyProtection="1">
      <alignment horizontal="center" vertical="center"/>
    </xf>
    <xf numFmtId="0" fontId="123" fillId="7" borderId="133" xfId="0" applyNumberFormat="1" applyFont="1" applyFill="1" applyBorder="1" applyAlignment="1" applyProtection="1">
      <alignment horizontal="center" vertical="center"/>
    </xf>
    <xf numFmtId="0" fontId="123" fillId="7" borderId="134" xfId="0" applyNumberFormat="1" applyFont="1" applyFill="1" applyBorder="1" applyAlignment="1" applyProtection="1">
      <alignment horizontal="center" vertical="center"/>
    </xf>
    <xf numFmtId="0" fontId="123" fillId="7" borderId="8" xfId="0" applyNumberFormat="1" applyFont="1" applyFill="1" applyBorder="1" applyAlignment="1" applyProtection="1">
      <alignment horizontal="center" vertical="center" wrapText="1"/>
    </xf>
    <xf numFmtId="0" fontId="75" fillId="7" borderId="54" xfId="0" applyNumberFormat="1" applyFont="1" applyFill="1" applyBorder="1" applyAlignment="1" applyProtection="1">
      <alignment horizontal="center" vertical="center" wrapText="1"/>
    </xf>
    <xf numFmtId="0" fontId="123" fillId="7" borderId="131" xfId="0" applyNumberFormat="1" applyFont="1" applyFill="1" applyBorder="1" applyAlignment="1" applyProtection="1">
      <alignment horizontal="center" vertical="center" wrapText="1"/>
    </xf>
    <xf numFmtId="0" fontId="10" fillId="7" borderId="8" xfId="0" applyNumberFormat="1" applyFont="1" applyFill="1" applyBorder="1" applyAlignment="1" applyProtection="1">
      <alignment horizontal="center" vertical="center"/>
    </xf>
    <xf numFmtId="0" fontId="10" fillId="7" borderId="66" xfId="0" applyNumberFormat="1" applyFont="1" applyFill="1" applyBorder="1" applyAlignment="1" applyProtection="1">
      <alignment horizontal="center" vertical="center"/>
    </xf>
    <xf numFmtId="0" fontId="10" fillId="7" borderId="8" xfId="0" applyNumberFormat="1" applyFont="1" applyFill="1" applyBorder="1" applyAlignment="1" applyProtection="1">
      <alignment horizontal="center" vertical="center" wrapText="1"/>
    </xf>
    <xf numFmtId="0" fontId="11" fillId="7" borderId="8" xfId="0" applyNumberFormat="1" applyFont="1" applyFill="1" applyBorder="1" applyAlignment="1" applyProtection="1">
      <alignment horizontal="center" vertical="center" wrapText="1"/>
    </xf>
    <xf numFmtId="0" fontId="42" fillId="7" borderId="8" xfId="0" applyNumberFormat="1" applyFont="1" applyFill="1" applyBorder="1" applyAlignment="1" applyProtection="1">
      <alignment horizontal="center" vertical="center" wrapText="1"/>
    </xf>
    <xf numFmtId="0" fontId="10" fillId="7" borderId="66" xfId="0" applyNumberFormat="1" applyFont="1" applyFill="1" applyBorder="1" applyAlignment="1" applyProtection="1">
      <alignment horizontal="center" vertical="center" wrapText="1"/>
    </xf>
    <xf numFmtId="0" fontId="165" fillId="7" borderId="8" xfId="0" applyNumberFormat="1" applyFont="1" applyFill="1" applyBorder="1" applyAlignment="1" applyProtection="1">
      <alignment horizontal="center" vertical="center"/>
    </xf>
    <xf numFmtId="0" fontId="165" fillId="7" borderId="40" xfId="0" applyNumberFormat="1" applyFont="1" applyFill="1" applyBorder="1" applyAlignment="1" applyProtection="1">
      <alignment horizontal="center" vertical="center"/>
    </xf>
    <xf numFmtId="0" fontId="165" fillId="7" borderId="8" xfId="0" applyNumberFormat="1" applyFont="1" applyFill="1" applyBorder="1" applyAlignment="1" applyProtection="1">
      <alignment horizontal="center" vertical="center" wrapText="1"/>
    </xf>
    <xf numFmtId="0" fontId="26" fillId="7" borderId="8" xfId="0" applyNumberFormat="1" applyFont="1" applyFill="1" applyBorder="1" applyAlignment="1" applyProtection="1">
      <alignment horizontal="center" vertical="center" wrapText="1"/>
    </xf>
    <xf numFmtId="0" fontId="165" fillId="7" borderId="40" xfId="0" applyNumberFormat="1" applyFont="1" applyFill="1" applyBorder="1" applyAlignment="1" applyProtection="1">
      <alignment horizontal="center" vertical="center" wrapText="1"/>
    </xf>
    <xf numFmtId="0" fontId="47" fillId="7" borderId="50" xfId="0" applyFont="1" applyFill="1" applyBorder="1" applyAlignment="1">
      <alignment horizontal="center" vertical="center"/>
    </xf>
    <xf numFmtId="0" fontId="47" fillId="7" borderId="50" xfId="0" applyFont="1" applyFill="1" applyBorder="1" applyAlignment="1">
      <alignment horizontal="center" vertical="center" wrapText="1"/>
    </xf>
    <xf numFmtId="0" fontId="48" fillId="7" borderId="50" xfId="0" applyFont="1" applyFill="1" applyBorder="1" applyAlignment="1">
      <alignment horizontal="center" vertical="center" wrapText="1"/>
    </xf>
    <xf numFmtId="3" fontId="142" fillId="4" borderId="6" xfId="0" applyNumberFormat="1" applyFont="1" applyFill="1" applyBorder="1" applyAlignment="1" applyProtection="1">
      <alignment horizontal="right" vertical="center"/>
    </xf>
    <xf numFmtId="0" fontId="142" fillId="4" borderId="57" xfId="0" applyNumberFormat="1" applyFont="1" applyFill="1" applyBorder="1" applyAlignment="1" applyProtection="1">
      <alignment horizontal="center" vertical="center"/>
    </xf>
    <xf numFmtId="0" fontId="142" fillId="4" borderId="58" xfId="0" applyNumberFormat="1" applyFont="1" applyFill="1" applyBorder="1" applyAlignment="1" applyProtection="1">
      <alignment horizontal="left" vertical="center"/>
    </xf>
    <xf numFmtId="0" fontId="142" fillId="4" borderId="58" xfId="0" applyNumberFormat="1" applyFont="1" applyFill="1" applyBorder="1" applyAlignment="1" applyProtection="1">
      <alignment horizontal="center" vertical="center"/>
    </xf>
    <xf numFmtId="0" fontId="142" fillId="4" borderId="58" xfId="0" applyNumberFormat="1" applyFont="1" applyFill="1" applyBorder="1" applyAlignment="1" applyProtection="1">
      <alignment horizontal="left" vertical="center" wrapText="1"/>
    </xf>
    <xf numFmtId="3" fontId="142" fillId="4" borderId="58" xfId="0" applyNumberFormat="1" applyFont="1" applyFill="1" applyBorder="1" applyAlignment="1" applyProtection="1">
      <alignment horizontal="right" vertical="center"/>
    </xf>
    <xf numFmtId="165" fontId="142" fillId="4" borderId="58" xfId="77" applyNumberFormat="1" applyFont="1" applyFill="1" applyBorder="1" applyAlignment="1" applyProtection="1">
      <alignment horizontal="right" vertical="center"/>
    </xf>
    <xf numFmtId="165" fontId="142" fillId="4" borderId="59" xfId="77" applyNumberFormat="1" applyFont="1" applyFill="1" applyBorder="1" applyAlignment="1" applyProtection="1">
      <alignment horizontal="right" vertical="center"/>
    </xf>
    <xf numFmtId="0" fontId="17" fillId="4" borderId="33" xfId="0" quotePrefix="1" applyNumberFormat="1" applyFont="1" applyFill="1" applyBorder="1" applyAlignment="1" applyProtection="1">
      <alignment horizontal="center" vertical="center"/>
    </xf>
    <xf numFmtId="3" fontId="41" fillId="4" borderId="50" xfId="0" applyNumberFormat="1" applyFont="1" applyFill="1" applyBorder="1" applyAlignment="1" applyProtection="1">
      <alignment horizontal="right" vertical="center"/>
    </xf>
    <xf numFmtId="3" fontId="56" fillId="4" borderId="1" xfId="0" applyNumberFormat="1" applyFont="1" applyFill="1" applyBorder="1" applyAlignment="1" applyProtection="1">
      <alignment wrapText="1"/>
      <protection locked="0"/>
    </xf>
    <xf numFmtId="0" fontId="165" fillId="7" borderId="8" xfId="11" applyNumberFormat="1" applyFont="1" applyFill="1" applyBorder="1" applyAlignment="1" applyProtection="1">
      <alignment horizontal="center" vertical="center"/>
    </xf>
    <xf numFmtId="0" fontId="165" fillId="7" borderId="40" xfId="11" applyNumberFormat="1" applyFont="1" applyFill="1" applyBorder="1" applyAlignment="1" applyProtection="1">
      <alignment horizontal="center" vertical="center"/>
    </xf>
    <xf numFmtId="0" fontId="165" fillId="7" borderId="8" xfId="11" applyNumberFormat="1" applyFont="1" applyFill="1" applyBorder="1" applyAlignment="1" applyProtection="1">
      <alignment horizontal="center" vertical="center" wrapText="1"/>
    </xf>
    <xf numFmtId="0" fontId="26" fillId="7" borderId="8" xfId="11" applyNumberFormat="1" applyFont="1" applyFill="1" applyBorder="1" applyAlignment="1" applyProtection="1">
      <alignment horizontal="center" vertical="center" wrapText="1"/>
    </xf>
    <xf numFmtId="0" fontId="165" fillId="7" borderId="40" xfId="11" applyNumberFormat="1" applyFont="1" applyFill="1" applyBorder="1" applyAlignment="1" applyProtection="1">
      <alignment horizontal="center" vertical="center" wrapText="1"/>
    </xf>
    <xf numFmtId="0" fontId="34" fillId="2" borderId="191" xfId="0" applyNumberFormat="1" applyFont="1" applyFill="1" applyBorder="1" applyAlignment="1" applyProtection="1">
      <alignment horizontal="center" vertical="center"/>
    </xf>
    <xf numFmtId="0" fontId="34" fillId="2" borderId="50" xfId="0" applyNumberFormat="1" applyFont="1" applyFill="1" applyBorder="1" applyAlignment="1" applyProtection="1">
      <alignment horizontal="center" vertical="center" wrapText="1"/>
    </xf>
    <xf numFmtId="0" fontId="34" fillId="2" borderId="50" xfId="0" applyNumberFormat="1" applyFont="1" applyFill="1" applyBorder="1" applyAlignment="1" applyProtection="1">
      <alignment horizontal="left" vertical="center" wrapText="1"/>
    </xf>
    <xf numFmtId="3" fontId="34" fillId="5" borderId="33" xfId="0" applyNumberFormat="1" applyFont="1" applyFill="1" applyBorder="1" applyAlignment="1" applyProtection="1">
      <alignment horizontal="right" vertical="center" wrapText="1"/>
    </xf>
    <xf numFmtId="0" fontId="165" fillId="4" borderId="50" xfId="0" applyFont="1" applyFill="1" applyBorder="1" applyAlignment="1">
      <alignment horizontal="center" vertical="center"/>
    </xf>
    <xf numFmtId="0" fontId="26" fillId="4" borderId="50" xfId="0" applyFont="1" applyFill="1" applyBorder="1" applyAlignment="1">
      <alignment horizontal="center" vertical="center" wrapText="1"/>
    </xf>
    <xf numFmtId="0" fontId="166" fillId="4" borderId="50" xfId="0" applyFont="1" applyFill="1" applyBorder="1" applyAlignment="1">
      <alignment horizontal="center" vertical="center"/>
    </xf>
    <xf numFmtId="0" fontId="166" fillId="4" borderId="50" xfId="0" applyFont="1" applyFill="1" applyBorder="1" applyAlignment="1">
      <alignment horizontal="left" vertical="center" wrapText="1"/>
    </xf>
    <xf numFmtId="0" fontId="34" fillId="4" borderId="50" xfId="0" applyFont="1" applyFill="1" applyBorder="1" applyAlignment="1">
      <alignment horizontal="right" vertical="center"/>
    </xf>
    <xf numFmtId="3" fontId="166" fillId="4" borderId="50" xfId="0" applyNumberFormat="1" applyFont="1" applyFill="1" applyBorder="1" applyAlignment="1">
      <alignment horizontal="right" vertical="center"/>
    </xf>
    <xf numFmtId="3" fontId="26" fillId="0" borderId="50" xfId="0" applyNumberFormat="1" applyFont="1" applyBorder="1" applyAlignment="1">
      <alignment horizontal="right" vertical="center"/>
    </xf>
    <xf numFmtId="0" fontId="166" fillId="4" borderId="50" xfId="0" applyFont="1" applyFill="1" applyBorder="1" applyAlignment="1">
      <alignment horizontal="left" vertical="center"/>
    </xf>
    <xf numFmtId="0" fontId="34" fillId="0" borderId="50" xfId="0" applyFont="1" applyBorder="1" applyAlignment="1">
      <alignment horizontal="right" vertical="center"/>
    </xf>
    <xf numFmtId="1" fontId="166" fillId="4" borderId="50" xfId="0" applyNumberFormat="1" applyFont="1" applyFill="1" applyBorder="1" applyAlignment="1">
      <alignment horizontal="right" vertical="center"/>
    </xf>
    <xf numFmtId="0" fontId="166" fillId="4" borderId="50" xfId="0" applyFont="1" applyFill="1" applyBorder="1" applyAlignment="1">
      <alignment horizontal="right" vertical="center"/>
    </xf>
    <xf numFmtId="4" fontId="122" fillId="4" borderId="50" xfId="0" applyNumberFormat="1" applyFont="1" applyFill="1" applyBorder="1" applyAlignment="1">
      <alignment horizontal="right" vertical="center"/>
    </xf>
    <xf numFmtId="3" fontId="29" fillId="4" borderId="0" xfId="0" applyNumberFormat="1" applyFont="1" applyFill="1" applyAlignment="1" applyProtection="1">
      <alignment wrapText="1"/>
      <protection locked="0"/>
    </xf>
    <xf numFmtId="0" fontId="68" fillId="11" borderId="92" xfId="0" applyFont="1" applyFill="1" applyBorder="1" applyAlignment="1">
      <alignment horizontal="center" vertical="center" wrapText="1"/>
    </xf>
    <xf numFmtId="0" fontId="68" fillId="11" borderId="95" xfId="0" applyFont="1" applyFill="1" applyBorder="1" applyAlignment="1">
      <alignment horizontal="center" vertical="center" wrapText="1"/>
    </xf>
    <xf numFmtId="0" fontId="68" fillId="11" borderId="98" xfId="0" applyFont="1" applyFill="1" applyBorder="1" applyAlignment="1">
      <alignment horizontal="center" vertical="center" wrapText="1"/>
    </xf>
    <xf numFmtId="0" fontId="68" fillId="11" borderId="93" xfId="0" applyFont="1" applyFill="1" applyBorder="1" applyAlignment="1">
      <alignment horizontal="center" vertical="center" wrapText="1"/>
    </xf>
    <xf numFmtId="0" fontId="68" fillId="11" borderId="127" xfId="0" applyFont="1" applyFill="1" applyBorder="1" applyAlignment="1">
      <alignment horizontal="center" vertical="center" wrapText="1"/>
    </xf>
    <xf numFmtId="0" fontId="70" fillId="11" borderId="101" xfId="0" applyFont="1" applyFill="1" applyBorder="1" applyAlignment="1">
      <alignment horizontal="center" vertical="center" wrapText="1"/>
    </xf>
    <xf numFmtId="0" fontId="70" fillId="11" borderId="102" xfId="0" applyFont="1" applyFill="1" applyBorder="1" applyAlignment="1">
      <alignment horizontal="center" vertical="center" wrapText="1"/>
    </xf>
    <xf numFmtId="0" fontId="70" fillId="11" borderId="108" xfId="0" applyFont="1" applyFill="1" applyBorder="1" applyAlignment="1">
      <alignment horizontal="center" vertical="center" wrapText="1"/>
    </xf>
    <xf numFmtId="0" fontId="70" fillId="11" borderId="109" xfId="0" applyFont="1" applyFill="1" applyBorder="1" applyAlignment="1">
      <alignment horizontal="center" vertical="center" wrapText="1"/>
    </xf>
    <xf numFmtId="0" fontId="0" fillId="0" borderId="82" xfId="0" applyBorder="1" applyAlignment="1">
      <alignment horizontal="center"/>
    </xf>
    <xf numFmtId="0" fontId="0" fillId="0" borderId="99" xfId="0" applyBorder="1" applyAlignment="1">
      <alignment horizontal="center"/>
    </xf>
    <xf numFmtId="0" fontId="60" fillId="7" borderId="92" xfId="88" applyFont="1" applyFill="1" applyBorder="1" applyAlignment="1">
      <alignment horizontal="center" vertical="center" wrapText="1"/>
    </xf>
    <xf numFmtId="0" fontId="60" fillId="7" borderId="82" xfId="88" applyFont="1" applyFill="1" applyBorder="1" applyAlignment="1">
      <alignment horizontal="center" vertical="center" wrapText="1"/>
    </xf>
    <xf numFmtId="0" fontId="60" fillId="7" borderId="90" xfId="88" applyFont="1" applyFill="1" applyBorder="1" applyAlignment="1">
      <alignment horizontal="center" vertical="center" wrapText="1"/>
    </xf>
    <xf numFmtId="0" fontId="59" fillId="6" borderId="92" xfId="88" applyFont="1" applyFill="1" applyBorder="1" applyAlignment="1">
      <alignment horizontal="center" vertical="center" wrapText="1"/>
    </xf>
    <xf numFmtId="0" fontId="59" fillId="6" borderId="94" xfId="88" applyFont="1" applyFill="1" applyBorder="1" applyAlignment="1">
      <alignment horizontal="center" vertical="center" wrapText="1"/>
    </xf>
    <xf numFmtId="0" fontId="59" fillId="6" borderId="95" xfId="88" applyFont="1" applyFill="1" applyBorder="1" applyAlignment="1">
      <alignment horizontal="center" vertical="center" wrapText="1"/>
    </xf>
    <xf numFmtId="0" fontId="59" fillId="6" borderId="90" xfId="88" applyFont="1" applyFill="1" applyBorder="1" applyAlignment="1">
      <alignment horizontal="center" vertical="center" wrapText="1"/>
    </xf>
    <xf numFmtId="0" fontId="59" fillId="8" borderId="92" xfId="88" applyFont="1" applyFill="1" applyBorder="1" applyAlignment="1">
      <alignment horizontal="center" vertical="center" wrapText="1"/>
    </xf>
    <xf numFmtId="0" fontId="59" fillId="8" borderId="94" xfId="88" applyFont="1" applyFill="1" applyBorder="1" applyAlignment="1">
      <alignment horizontal="center" vertical="center" wrapText="1"/>
    </xf>
    <xf numFmtId="0" fontId="59" fillId="8" borderId="95" xfId="88" applyFont="1" applyFill="1" applyBorder="1" applyAlignment="1">
      <alignment horizontal="center" vertical="center" wrapText="1"/>
    </xf>
    <xf numFmtId="0" fontId="49" fillId="7" borderId="192" xfId="0" applyNumberFormat="1" applyFont="1" applyFill="1" applyBorder="1" applyAlignment="1" applyProtection="1">
      <alignment horizontal="left" vertical="top"/>
    </xf>
    <xf numFmtId="0" fontId="49" fillId="7" borderId="193" xfId="0" applyNumberFormat="1" applyFont="1" applyFill="1" applyBorder="1" applyAlignment="1" applyProtection="1">
      <alignment horizontal="left" vertical="top"/>
    </xf>
    <xf numFmtId="0" fontId="49" fillId="2" borderId="32" xfId="0" applyNumberFormat="1" applyFont="1" applyFill="1" applyBorder="1" applyAlignment="1" applyProtection="1">
      <alignment horizontal="center" vertical="center"/>
    </xf>
    <xf numFmtId="0" fontId="49" fillId="7" borderId="34" xfId="0" applyNumberFormat="1" applyFont="1" applyFill="1" applyBorder="1" applyAlignment="1" applyProtection="1">
      <alignment horizontal="left" vertical="top"/>
    </xf>
    <xf numFmtId="0" fontId="49" fillId="7" borderId="32" xfId="0" applyNumberFormat="1" applyFont="1" applyFill="1" applyBorder="1" applyAlignment="1" applyProtection="1">
      <alignment horizontal="center" vertical="center"/>
    </xf>
    <xf numFmtId="0" fontId="49" fillId="4" borderId="24" xfId="0" applyNumberFormat="1" applyFont="1" applyFill="1" applyBorder="1" applyAlignment="1" applyProtection="1">
      <alignment horizontal="center" vertical="center"/>
    </xf>
    <xf numFmtId="0" fontId="79" fillId="4" borderId="27" xfId="0" applyNumberFormat="1" applyFont="1" applyFill="1" applyBorder="1" applyAlignment="1" applyProtection="1">
      <alignment horizontal="center" vertical="center"/>
    </xf>
    <xf numFmtId="0" fontId="49" fillId="4" borderId="21" xfId="0" applyNumberFormat="1" applyFont="1" applyFill="1" applyBorder="1" applyAlignment="1" applyProtection="1">
      <alignment horizontal="center" vertical="center"/>
    </xf>
    <xf numFmtId="0" fontId="49" fillId="4" borderId="24" xfId="73" applyNumberFormat="1" applyFont="1" applyFill="1" applyBorder="1" applyAlignment="1" applyProtection="1">
      <alignment horizontal="center" vertical="center"/>
    </xf>
    <xf numFmtId="0" fontId="124" fillId="7" borderId="7" xfId="0" applyNumberFormat="1" applyFont="1" applyFill="1" applyBorder="1" applyAlignment="1" applyProtection="1">
      <alignment horizontal="center" vertical="center"/>
    </xf>
    <xf numFmtId="0" fontId="124" fillId="7" borderId="7" xfId="0" applyNumberFormat="1" applyFont="1" applyFill="1" applyBorder="1" applyAlignment="1" applyProtection="1">
      <alignment horizontal="center" vertical="center" wrapText="1"/>
    </xf>
    <xf numFmtId="0" fontId="124" fillId="7" borderId="8" xfId="0" applyNumberFormat="1" applyFont="1" applyFill="1" applyBorder="1" applyAlignment="1" applyProtection="1">
      <alignment horizontal="center" vertical="center" wrapText="1"/>
    </xf>
    <xf numFmtId="0" fontId="79" fillId="4" borderId="1" xfId="0" applyNumberFormat="1" applyFont="1" applyFill="1" applyBorder="1" applyAlignment="1" applyProtection="1">
      <alignment horizontal="center" vertical="top"/>
    </xf>
    <xf numFmtId="0" fontId="79" fillId="4" borderId="1" xfId="0" applyNumberFormat="1" applyFont="1" applyFill="1" applyBorder="1" applyAlignment="1" applyProtection="1">
      <alignment horizontal="left" vertical="center"/>
    </xf>
    <xf numFmtId="0" fontId="79" fillId="4" borderId="1" xfId="0" applyNumberFormat="1" applyFont="1" applyFill="1" applyBorder="1" applyAlignment="1" applyProtection="1">
      <alignment horizontal="right" vertical="center"/>
    </xf>
    <xf numFmtId="0" fontId="79" fillId="7" borderId="2" xfId="0" applyNumberFormat="1" applyFont="1" applyFill="1" applyBorder="1" applyAlignment="1" applyProtection="1">
      <alignment horizontal="center" vertical="center" wrapText="1"/>
    </xf>
    <xf numFmtId="0" fontId="79" fillId="7" borderId="51" xfId="0" applyNumberFormat="1" applyFont="1" applyFill="1" applyBorder="1" applyAlignment="1" applyProtection="1">
      <alignment horizontal="center" vertical="center"/>
    </xf>
    <xf numFmtId="0" fontId="79" fillId="7" borderId="3" xfId="0" applyNumberFormat="1" applyFont="1" applyFill="1" applyBorder="1" applyAlignment="1" applyProtection="1">
      <alignment horizontal="center" vertical="center"/>
    </xf>
    <xf numFmtId="0" fontId="79" fillId="7" borderId="4" xfId="0" applyNumberFormat="1" applyFont="1" applyFill="1" applyBorder="1" applyAlignment="1" applyProtection="1">
      <alignment horizontal="left" vertical="center"/>
    </xf>
    <xf numFmtId="0" fontId="124" fillId="7" borderId="6" xfId="0" applyNumberFormat="1" applyFont="1" applyFill="1" applyBorder="1" applyAlignment="1" applyProtection="1">
      <alignment horizontal="center" vertical="center" wrapText="1"/>
    </xf>
    <xf numFmtId="0" fontId="79" fillId="4" borderId="16" xfId="0" applyNumberFormat="1" applyFont="1" applyFill="1" applyBorder="1" applyAlignment="1" applyProtection="1">
      <alignment horizontal="center" vertical="center"/>
    </xf>
    <xf numFmtId="0" fontId="64" fillId="7" borderId="5" xfId="0" applyNumberFormat="1" applyFont="1" applyFill="1" applyBorder="1" applyAlignment="1" applyProtection="1">
      <alignment horizontal="center" vertical="center"/>
    </xf>
    <xf numFmtId="0" fontId="123" fillId="7" borderId="6" xfId="0" applyNumberFormat="1" applyFont="1" applyFill="1" applyBorder="1" applyAlignment="1" applyProtection="1">
      <alignment horizontal="center" vertical="center"/>
    </xf>
    <xf numFmtId="0" fontId="28" fillId="4" borderId="1" xfId="0" applyNumberFormat="1" applyFont="1" applyFill="1" applyBorder="1" applyAlignment="1" applyProtection="1">
      <alignment horizontal="center" vertical="top"/>
    </xf>
    <xf numFmtId="0" fontId="82" fillId="4" borderId="1" xfId="0" applyNumberFormat="1" applyFont="1" applyFill="1" applyBorder="1" applyAlignment="1" applyProtection="1">
      <alignment horizontal="left" vertical="center"/>
    </xf>
    <xf numFmtId="0" fontId="31" fillId="4" borderId="1" xfId="0" applyNumberFormat="1" applyFont="1" applyFill="1" applyBorder="1" applyAlignment="1" applyProtection="1">
      <alignment horizontal="left" vertical="top"/>
    </xf>
    <xf numFmtId="0" fontId="82" fillId="4" borderId="1" xfId="0" applyNumberFormat="1" applyFont="1" applyFill="1" applyBorder="1" applyAlignment="1" applyProtection="1">
      <alignment horizontal="right" vertical="center"/>
    </xf>
    <xf numFmtId="0" fontId="164" fillId="4" borderId="1" xfId="0" applyNumberFormat="1" applyFont="1" applyFill="1" applyBorder="1" applyAlignment="1" applyProtection="1">
      <alignment horizontal="left" vertical="center"/>
    </xf>
    <xf numFmtId="0" fontId="152" fillId="4" borderId="1" xfId="0" applyNumberFormat="1" applyFont="1" applyFill="1" applyBorder="1" applyAlignment="1" applyProtection="1">
      <alignment horizontal="center" vertical="top"/>
    </xf>
    <xf numFmtId="0" fontId="164" fillId="4" borderId="1" xfId="0" applyNumberFormat="1" applyFont="1" applyFill="1" applyBorder="1" applyAlignment="1" applyProtection="1">
      <alignment horizontal="right" vertical="center"/>
    </xf>
    <xf numFmtId="0" fontId="164" fillId="7" borderId="38" xfId="0" applyNumberFormat="1" applyFont="1" applyFill="1" applyBorder="1" applyAlignment="1" applyProtection="1">
      <alignment horizontal="center" vertical="center" wrapText="1"/>
    </xf>
    <xf numFmtId="0" fontId="164" fillId="7" borderId="39" xfId="0" applyNumberFormat="1" applyFont="1" applyFill="1" applyBorder="1" applyAlignment="1" applyProtection="1">
      <alignment horizontal="center" vertical="center"/>
    </xf>
    <xf numFmtId="0" fontId="163" fillId="4" borderId="1" xfId="7" applyNumberFormat="1" applyFont="1" applyFill="1" applyBorder="1" applyAlignment="1" applyProtection="1">
      <alignment horizontal="left" vertical="top"/>
    </xf>
    <xf numFmtId="0" fontId="164" fillId="7" borderId="37" xfId="0" applyNumberFormat="1" applyFont="1" applyFill="1" applyBorder="1" applyAlignment="1" applyProtection="1">
      <alignment horizontal="center" vertical="center" wrapText="1"/>
    </xf>
    <xf numFmtId="0" fontId="164" fillId="7" borderId="38" xfId="0" applyNumberFormat="1" applyFont="1" applyFill="1" applyBorder="1" applyAlignment="1" applyProtection="1">
      <alignment horizontal="left" vertical="center"/>
    </xf>
    <xf numFmtId="0" fontId="25" fillId="0" borderId="50" xfId="0" applyFont="1" applyBorder="1" applyAlignment="1">
      <alignment horizontal="center" wrapText="1"/>
    </xf>
    <xf numFmtId="0" fontId="15" fillId="4" borderId="86" xfId="0" applyNumberFormat="1" applyFont="1" applyFill="1" applyBorder="1" applyAlignment="1" applyProtection="1">
      <alignment horizontal="center" vertical="center" wrapText="1"/>
    </xf>
    <xf numFmtId="0" fontId="15" fillId="4" borderId="87" xfId="0" applyNumberFormat="1" applyFont="1" applyFill="1" applyBorder="1" applyAlignment="1" applyProtection="1">
      <alignment horizontal="center" vertical="center" wrapText="1"/>
    </xf>
    <xf numFmtId="0" fontId="33" fillId="4" borderId="1" xfId="10" applyNumberFormat="1" applyFont="1" applyFill="1" applyBorder="1" applyAlignment="1" applyProtection="1">
      <alignment horizontal="left" vertical="top"/>
    </xf>
    <xf numFmtId="0" fontId="28" fillId="3" borderId="2" xfId="0" applyNumberFormat="1" applyFont="1" applyFill="1" applyBorder="1" applyAlignment="1" applyProtection="1">
      <alignment horizontal="left" vertical="center"/>
    </xf>
    <xf numFmtId="0" fontId="28" fillId="3" borderId="3" xfId="0" applyNumberFormat="1" applyFont="1" applyFill="1" applyBorder="1" applyAlignment="1" applyProtection="1">
      <alignment horizontal="center" vertical="center"/>
    </xf>
    <xf numFmtId="165" fontId="28" fillId="3" borderId="3" xfId="77" applyNumberFormat="1" applyFont="1" applyFill="1" applyBorder="1" applyAlignment="1" applyProtection="1">
      <alignment horizontal="left" vertical="center"/>
    </xf>
    <xf numFmtId="165" fontId="28" fillId="3" borderId="4" xfId="77" applyNumberFormat="1" applyFont="1" applyFill="1" applyBorder="1" applyAlignment="1" applyProtection="1">
      <alignment horizontal="center" vertical="center"/>
    </xf>
    <xf numFmtId="0" fontId="28" fillId="4" borderId="16" xfId="0" applyNumberFormat="1" applyFont="1" applyFill="1" applyBorder="1" applyAlignment="1" applyProtection="1">
      <alignment horizontal="center" vertical="center"/>
    </xf>
    <xf numFmtId="0" fontId="28" fillId="4" borderId="50" xfId="0" applyNumberFormat="1" applyFont="1" applyFill="1" applyBorder="1" applyAlignment="1" applyProtection="1">
      <alignment horizontal="center" vertical="center"/>
    </xf>
    <xf numFmtId="0" fontId="28" fillId="3" borderId="42" xfId="0" applyNumberFormat="1" applyFont="1" applyFill="1" applyBorder="1" applyAlignment="1" applyProtection="1">
      <alignment horizontal="center" vertical="center"/>
    </xf>
    <xf numFmtId="165" fontId="28" fillId="3" borderId="42" xfId="77" applyNumberFormat="1" applyFont="1" applyFill="1" applyBorder="1" applyAlignment="1" applyProtection="1">
      <alignment horizontal="left" vertical="center"/>
    </xf>
    <xf numFmtId="165" fontId="28" fillId="3" borderId="43" xfId="77" applyNumberFormat="1" applyFont="1" applyFill="1" applyBorder="1" applyAlignment="1" applyProtection="1">
      <alignment horizontal="center" vertical="center"/>
    </xf>
    <xf numFmtId="0" fontId="28" fillId="3" borderId="5" xfId="0" applyNumberFormat="1" applyFont="1" applyFill="1" applyBorder="1" applyAlignment="1" applyProtection="1">
      <alignment horizontal="center" vertical="center"/>
    </xf>
    <xf numFmtId="165" fontId="28" fillId="3" borderId="6" xfId="77" applyNumberFormat="1" applyFont="1" applyFill="1" applyBorder="1" applyAlignment="1" applyProtection="1">
      <alignment horizontal="center" vertical="center"/>
    </xf>
    <xf numFmtId="165" fontId="28" fillId="3" borderId="7" xfId="77" applyNumberFormat="1" applyFont="1" applyFill="1" applyBorder="1" applyAlignment="1" applyProtection="1">
      <alignment horizontal="center" vertical="center"/>
    </xf>
    <xf numFmtId="165" fontId="28" fillId="3" borderId="8" xfId="77" applyNumberFormat="1" applyFont="1" applyFill="1" applyBorder="1" applyAlignment="1" applyProtection="1">
      <alignment horizontal="center" vertical="center" wrapText="1"/>
    </xf>
    <xf numFmtId="165" fontId="28" fillId="3" borderId="6" xfId="77" applyNumberFormat="1" applyFont="1" applyFill="1" applyBorder="1" applyAlignment="1" applyProtection="1">
      <alignment horizontal="center" vertical="center" wrapText="1"/>
    </xf>
    <xf numFmtId="0" fontId="124" fillId="4" borderId="125" xfId="0" applyNumberFormat="1" applyFont="1" applyFill="1" applyBorder="1" applyAlignment="1" applyProtection="1">
      <alignment horizontal="center" vertical="center"/>
    </xf>
    <xf numFmtId="0" fontId="124" fillId="4" borderId="126" xfId="0" applyNumberFormat="1" applyFont="1" applyFill="1" applyBorder="1" applyAlignment="1" applyProtection="1">
      <alignment horizontal="center" vertical="center"/>
    </xf>
    <xf numFmtId="0" fontId="124" fillId="4" borderId="1" xfId="0" applyNumberFormat="1" applyFont="1" applyFill="1" applyBorder="1" applyAlignment="1" applyProtection="1">
      <alignment horizontal="center" vertical="top"/>
    </xf>
    <xf numFmtId="0" fontId="124" fillId="4" borderId="1" xfId="0" applyNumberFormat="1" applyFont="1" applyFill="1" applyBorder="1" applyAlignment="1" applyProtection="1">
      <alignment horizontal="left" vertical="center"/>
    </xf>
    <xf numFmtId="0" fontId="124" fillId="4" borderId="1" xfId="0" applyNumberFormat="1" applyFont="1" applyFill="1" applyBorder="1" applyAlignment="1" applyProtection="1">
      <alignment horizontal="right" vertical="center"/>
    </xf>
    <xf numFmtId="0" fontId="124" fillId="3" borderId="121" xfId="0" applyNumberFormat="1" applyFont="1" applyFill="1" applyBorder="1" applyAlignment="1" applyProtection="1">
      <alignment horizontal="center" vertical="center"/>
    </xf>
    <xf numFmtId="0" fontId="124" fillId="3" borderId="121" xfId="0" applyNumberFormat="1" applyFont="1" applyFill="1" applyBorder="1" applyAlignment="1" applyProtection="1">
      <alignment horizontal="left" vertical="center"/>
    </xf>
    <xf numFmtId="0" fontId="124" fillId="3" borderId="122" xfId="0" applyNumberFormat="1" applyFont="1" applyFill="1" applyBorder="1" applyAlignment="1" applyProtection="1">
      <alignment horizontal="center" vertical="center"/>
    </xf>
    <xf numFmtId="0" fontId="124" fillId="3" borderId="117" xfId="0" applyNumberFormat="1" applyFont="1" applyFill="1" applyBorder="1" applyAlignment="1" applyProtection="1">
      <alignment horizontal="center" vertical="center"/>
    </xf>
    <xf numFmtId="0" fontId="124" fillId="3" borderId="112" xfId="0" applyNumberFormat="1" applyFont="1" applyFill="1" applyBorder="1" applyAlignment="1" applyProtection="1">
      <alignment horizontal="center" vertical="center"/>
    </xf>
    <xf numFmtId="0" fontId="124" fillId="3" borderId="82" xfId="0" applyNumberFormat="1" applyFont="1" applyFill="1" applyBorder="1" applyAlignment="1" applyProtection="1">
      <alignment horizontal="center" vertical="center"/>
    </xf>
    <xf numFmtId="0" fontId="124" fillId="3" borderId="118" xfId="0" applyNumberFormat="1" applyFont="1" applyFill="1" applyBorder="1" applyAlignment="1" applyProtection="1">
      <alignment horizontal="center" vertical="center"/>
    </xf>
    <xf numFmtId="0" fontId="124" fillId="3" borderId="119" xfId="0" applyNumberFormat="1" applyFont="1" applyFill="1" applyBorder="1" applyAlignment="1" applyProtection="1">
      <alignment horizontal="center" vertical="center"/>
    </xf>
    <xf numFmtId="0" fontId="124" fillId="3" borderId="120" xfId="0" applyNumberFormat="1" applyFont="1" applyFill="1" applyBorder="1" applyAlignment="1" applyProtection="1">
      <alignment horizontal="center" vertical="center"/>
    </xf>
    <xf numFmtId="0" fontId="124" fillId="3" borderId="49" xfId="0" applyNumberFormat="1" applyFont="1" applyFill="1" applyBorder="1" applyAlignment="1" applyProtection="1">
      <alignment horizontal="center" vertical="center"/>
    </xf>
    <xf numFmtId="0" fontId="124" fillId="3" borderId="115" xfId="0" applyNumberFormat="1" applyFont="1" applyFill="1" applyBorder="1" applyAlignment="1" applyProtection="1">
      <alignment horizontal="center" vertical="center"/>
    </xf>
    <xf numFmtId="0" fontId="124" fillId="3" borderId="116" xfId="0" applyNumberFormat="1" applyFont="1" applyFill="1" applyBorder="1" applyAlignment="1" applyProtection="1">
      <alignment horizontal="center" vertical="center"/>
    </xf>
    <xf numFmtId="0" fontId="124" fillId="3" borderId="113" xfId="0" applyNumberFormat="1" applyFont="1" applyFill="1" applyBorder="1" applyAlignment="1" applyProtection="1">
      <alignment horizontal="center" vertical="center"/>
    </xf>
    <xf numFmtId="0" fontId="124" fillId="3" borderId="114" xfId="0" applyNumberFormat="1" applyFont="1" applyFill="1" applyBorder="1" applyAlignment="1" applyProtection="1">
      <alignment horizontal="center" vertical="center"/>
    </xf>
    <xf numFmtId="0" fontId="124" fillId="3" borderId="112" xfId="0" applyNumberFormat="1" applyFont="1" applyFill="1" applyBorder="1" applyAlignment="1" applyProtection="1">
      <alignment horizontal="center" vertical="center" wrapText="1"/>
    </xf>
    <xf numFmtId="0" fontId="124" fillId="3" borderId="10" xfId="0" applyNumberFormat="1" applyFont="1" applyFill="1" applyBorder="1" applyAlignment="1" applyProtection="1">
      <alignment horizontal="center" vertical="center" wrapText="1"/>
    </xf>
    <xf numFmtId="0" fontId="124" fillId="3" borderId="79" xfId="0" applyNumberFormat="1" applyFont="1" applyFill="1" applyBorder="1" applyAlignment="1" applyProtection="1">
      <alignment horizontal="center" vertical="center" wrapText="1"/>
    </xf>
    <xf numFmtId="0" fontId="124" fillId="3" borderId="63" xfId="0" applyNumberFormat="1" applyFont="1" applyFill="1" applyBorder="1" applyAlignment="1" applyProtection="1">
      <alignment horizontal="center" vertical="center" wrapText="1"/>
    </xf>
    <xf numFmtId="0" fontId="122" fillId="4" borderId="1" xfId="0" applyNumberFormat="1" applyFont="1" applyFill="1" applyBorder="1" applyAlignment="1" applyProtection="1">
      <alignment horizontal="left" vertical="top"/>
    </xf>
    <xf numFmtId="0" fontId="124" fillId="3" borderId="80" xfId="0" applyNumberFormat="1" applyFont="1" applyFill="1" applyBorder="1" applyAlignment="1" applyProtection="1">
      <alignment horizontal="left" vertical="center"/>
    </xf>
    <xf numFmtId="0" fontId="124" fillId="3" borderId="124" xfId="0" applyNumberFormat="1" applyFont="1" applyFill="1" applyBorder="1" applyAlignment="1" applyProtection="1">
      <alignment horizontal="left" vertical="center"/>
    </xf>
    <xf numFmtId="0" fontId="124" fillId="3" borderId="65" xfId="0" applyNumberFormat="1" applyFont="1" applyFill="1" applyBorder="1" applyAlignment="1" applyProtection="1">
      <alignment horizontal="center" vertical="center"/>
    </xf>
    <xf numFmtId="0" fontId="124" fillId="3" borderId="56" xfId="0" applyNumberFormat="1" applyFont="1" applyFill="1" applyBorder="1" applyAlignment="1" applyProtection="1">
      <alignment horizontal="center" vertical="center"/>
    </xf>
    <xf numFmtId="0" fontId="124" fillId="3" borderId="65" xfId="0" applyNumberFormat="1" applyFont="1" applyFill="1" applyBorder="1" applyAlignment="1" applyProtection="1">
      <alignment horizontal="left" vertical="center"/>
    </xf>
    <xf numFmtId="0" fontId="124" fillId="3" borderId="56" xfId="0" applyNumberFormat="1" applyFont="1" applyFill="1" applyBorder="1" applyAlignment="1" applyProtection="1">
      <alignment horizontal="left" vertical="center"/>
    </xf>
    <xf numFmtId="0" fontId="124" fillId="3" borderId="81" xfId="0" applyNumberFormat="1" applyFont="1" applyFill="1" applyBorder="1" applyAlignment="1" applyProtection="1">
      <alignment horizontal="center" vertical="center"/>
    </xf>
    <xf numFmtId="0" fontId="124" fillId="3" borderId="123" xfId="0" applyNumberFormat="1" applyFont="1" applyFill="1" applyBorder="1" applyAlignment="1" applyProtection="1">
      <alignment horizontal="center" vertical="center"/>
    </xf>
    <xf numFmtId="0" fontId="14" fillId="4" borderId="8" xfId="0" applyNumberFormat="1" applyFont="1" applyFill="1" applyBorder="1" applyAlignment="1" applyProtection="1">
      <alignment horizontal="center" vertical="center" wrapText="1"/>
    </xf>
    <xf numFmtId="0" fontId="14" fillId="4" borderId="16" xfId="0" applyNumberFormat="1" applyFont="1" applyFill="1" applyBorder="1" applyAlignment="1" applyProtection="1">
      <alignment horizontal="center" vertical="center"/>
    </xf>
    <xf numFmtId="0" fontId="14" fillId="4" borderId="27" xfId="0" applyNumberFormat="1" applyFont="1" applyFill="1" applyBorder="1" applyAlignment="1" applyProtection="1">
      <alignment horizontal="center" vertical="center"/>
    </xf>
    <xf numFmtId="0" fontId="3" fillId="4" borderId="46" xfId="11" applyNumberFormat="1" applyFont="1" applyFill="1" applyBorder="1" applyAlignment="1" applyProtection="1">
      <alignment horizontal="left" vertical="top"/>
    </xf>
    <xf numFmtId="0" fontId="14" fillId="4" borderId="8" xfId="0" applyNumberFormat="1" applyFont="1" applyFill="1" applyBorder="1" applyAlignment="1" applyProtection="1">
      <alignment horizontal="center" vertical="center"/>
    </xf>
    <xf numFmtId="0" fontId="14" fillId="4" borderId="47" xfId="0" applyNumberFormat="1" applyFont="1" applyFill="1" applyBorder="1" applyAlignment="1" applyProtection="1">
      <alignment horizontal="center"/>
    </xf>
    <xf numFmtId="0" fontId="14" fillId="4" borderId="42" xfId="0" applyNumberFormat="1" applyFont="1" applyFill="1" applyBorder="1" applyAlignment="1" applyProtection="1">
      <alignment horizontal="center"/>
    </xf>
    <xf numFmtId="0" fontId="14" fillId="4" borderId="48" xfId="0" applyNumberFormat="1" applyFont="1" applyFill="1" applyBorder="1" applyAlignment="1" applyProtection="1">
      <alignment horizontal="center"/>
    </xf>
    <xf numFmtId="0" fontId="5" fillId="4" borderId="47" xfId="0" applyNumberFormat="1" applyFont="1" applyFill="1" applyBorder="1" applyAlignment="1" applyProtection="1">
      <alignment horizontal="center" vertical="center"/>
    </xf>
    <xf numFmtId="0" fontId="5" fillId="4" borderId="42" xfId="0" applyNumberFormat="1" applyFont="1" applyFill="1" applyBorder="1" applyAlignment="1" applyProtection="1">
      <alignment horizontal="center" vertical="center"/>
    </xf>
    <xf numFmtId="0" fontId="5" fillId="4" borderId="48" xfId="0" applyNumberFormat="1" applyFont="1" applyFill="1" applyBorder="1" applyAlignment="1" applyProtection="1">
      <alignment horizontal="center" vertical="center"/>
    </xf>
    <xf numFmtId="0" fontId="19" fillId="4" borderId="1" xfId="11" applyNumberFormat="1" applyFont="1" applyFill="1" applyBorder="1" applyAlignment="1" applyProtection="1">
      <alignment horizontal="left" vertical="top"/>
    </xf>
    <xf numFmtId="0" fontId="2" fillId="3" borderId="42" xfId="0" applyNumberFormat="1" applyFont="1" applyFill="1" applyBorder="1" applyAlignment="1" applyProtection="1">
      <alignment horizontal="center" vertical="center"/>
    </xf>
    <xf numFmtId="0" fontId="2" fillId="3" borderId="42" xfId="0" applyNumberFormat="1" applyFont="1" applyFill="1" applyBorder="1" applyAlignment="1" applyProtection="1">
      <alignment horizontal="left" vertical="center"/>
    </xf>
    <xf numFmtId="0" fontId="2" fillId="3" borderId="43" xfId="0" applyNumberFormat="1" applyFont="1" applyFill="1" applyBorder="1" applyAlignment="1" applyProtection="1">
      <alignment horizontal="center" vertical="center"/>
    </xf>
    <xf numFmtId="0" fontId="2" fillId="3" borderId="5" xfId="0" applyNumberFormat="1" applyFont="1" applyFill="1" applyBorder="1" applyAlignment="1" applyProtection="1">
      <alignment horizontal="center" vertical="center"/>
    </xf>
    <xf numFmtId="0" fontId="2" fillId="3" borderId="6" xfId="0" applyNumberFormat="1" applyFont="1" applyFill="1" applyBorder="1" applyAlignment="1" applyProtection="1">
      <alignment horizontal="center" vertical="center"/>
    </xf>
    <xf numFmtId="0" fontId="2" fillId="3" borderId="7" xfId="0" applyNumberFormat="1" applyFont="1" applyFill="1" applyBorder="1" applyAlignment="1" applyProtection="1">
      <alignment horizontal="center" vertical="center"/>
    </xf>
    <xf numFmtId="0" fontId="2" fillId="3" borderId="6" xfId="0" applyNumberFormat="1" applyFont="1" applyFill="1" applyBorder="1" applyAlignment="1" applyProtection="1">
      <alignment horizontal="center" vertical="center" wrapText="1"/>
    </xf>
    <xf numFmtId="0" fontId="2" fillId="3" borderId="8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top"/>
    </xf>
    <xf numFmtId="0" fontId="2" fillId="4" borderId="1" xfId="0" applyNumberFormat="1" applyFont="1" applyFill="1" applyBorder="1" applyAlignment="1" applyProtection="1">
      <alignment horizontal="left" vertical="center"/>
    </xf>
    <xf numFmtId="0" fontId="2" fillId="4" borderId="1" xfId="0" applyNumberFormat="1" applyFont="1" applyFill="1" applyBorder="1" applyAlignment="1" applyProtection="1">
      <alignment horizontal="right" vertical="center"/>
    </xf>
    <xf numFmtId="0" fontId="2" fillId="3" borderId="2" xfId="0" applyNumberFormat="1" applyFont="1" applyFill="1" applyBorder="1" applyAlignment="1" applyProtection="1">
      <alignment horizontal="left" vertical="center"/>
    </xf>
    <xf numFmtId="0" fontId="2" fillId="3" borderId="3" xfId="0" applyNumberFormat="1" applyFont="1" applyFill="1" applyBorder="1" applyAlignment="1" applyProtection="1">
      <alignment horizontal="center" vertical="center"/>
    </xf>
    <xf numFmtId="0" fontId="2" fillId="3" borderId="3" xfId="0" applyNumberFormat="1" applyFont="1" applyFill="1" applyBorder="1" applyAlignment="1" applyProtection="1">
      <alignment horizontal="left" vertical="center"/>
    </xf>
    <xf numFmtId="0" fontId="2" fillId="3" borderId="4" xfId="0" applyNumberFormat="1" applyFont="1" applyFill="1" applyBorder="1" applyAlignment="1" applyProtection="1">
      <alignment horizontal="center" vertical="center"/>
    </xf>
    <xf numFmtId="0" fontId="124" fillId="3" borderId="5" xfId="0" applyNumberFormat="1" applyFont="1" applyFill="1" applyBorder="1" applyAlignment="1" applyProtection="1">
      <alignment horizontal="center" vertical="center"/>
    </xf>
    <xf numFmtId="0" fontId="124" fillId="3" borderId="42" xfId="0" applyNumberFormat="1" applyFont="1" applyFill="1" applyBorder="1" applyAlignment="1" applyProtection="1">
      <alignment horizontal="left" vertical="center"/>
    </xf>
    <xf numFmtId="0" fontId="124" fillId="3" borderId="43" xfId="0" applyNumberFormat="1" applyFont="1" applyFill="1" applyBorder="1" applyAlignment="1" applyProtection="1">
      <alignment horizontal="center" vertical="center"/>
    </xf>
    <xf numFmtId="0" fontId="124" fillId="3" borderId="6" xfId="0" applyNumberFormat="1" applyFont="1" applyFill="1" applyBorder="1" applyAlignment="1" applyProtection="1">
      <alignment horizontal="center" vertical="center"/>
    </xf>
    <xf numFmtId="0" fontId="124" fillId="3" borderId="6" xfId="0" applyNumberFormat="1" applyFont="1" applyFill="1" applyBorder="1" applyAlignment="1" applyProtection="1">
      <alignment horizontal="center" vertical="center" wrapText="1"/>
    </xf>
    <xf numFmtId="0" fontId="64" fillId="4" borderId="1" xfId="0" applyNumberFormat="1" applyFont="1" applyFill="1" applyBorder="1" applyAlignment="1" applyProtection="1">
      <alignment horizontal="center" vertical="top"/>
    </xf>
    <xf numFmtId="0" fontId="123" fillId="4" borderId="1" xfId="0" applyNumberFormat="1" applyFont="1" applyFill="1" applyBorder="1" applyAlignment="1" applyProtection="1">
      <alignment horizontal="left" vertical="center"/>
    </xf>
    <xf numFmtId="0" fontId="123" fillId="4" borderId="1" xfId="0" applyNumberFormat="1" applyFont="1" applyFill="1" applyBorder="1" applyAlignment="1" applyProtection="1">
      <alignment horizontal="right" vertical="center"/>
    </xf>
    <xf numFmtId="0" fontId="124" fillId="3" borderId="2" xfId="0" applyNumberFormat="1" applyFont="1" applyFill="1" applyBorder="1" applyAlignment="1" applyProtection="1">
      <alignment horizontal="left" vertical="center"/>
    </xf>
    <xf numFmtId="0" fontId="124" fillId="3" borderId="3" xfId="0" applyNumberFormat="1" applyFont="1" applyFill="1" applyBorder="1" applyAlignment="1" applyProtection="1">
      <alignment horizontal="center" vertical="center"/>
    </xf>
    <xf numFmtId="0" fontId="124" fillId="3" borderId="3" xfId="0" applyNumberFormat="1" applyFont="1" applyFill="1" applyBorder="1" applyAlignment="1" applyProtection="1">
      <alignment horizontal="left" vertical="center"/>
    </xf>
    <xf numFmtId="0" fontId="124" fillId="3" borderId="4" xfId="0" applyNumberFormat="1" applyFont="1" applyFill="1" applyBorder="1" applyAlignment="1" applyProtection="1">
      <alignment horizontal="center" vertical="center"/>
    </xf>
    <xf numFmtId="0" fontId="28" fillId="4" borderId="50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left" vertical="top"/>
    </xf>
    <xf numFmtId="0" fontId="28" fillId="7" borderId="50" xfId="0" applyFont="1" applyFill="1" applyBorder="1" applyAlignment="1">
      <alignment horizontal="left" vertical="center"/>
    </xf>
    <xf numFmtId="0" fontId="28" fillId="7" borderId="50" xfId="0" applyFont="1" applyFill="1" applyBorder="1" applyAlignment="1">
      <alignment horizontal="center" vertical="center"/>
    </xf>
    <xf numFmtId="0" fontId="27" fillId="7" borderId="50" xfId="0" applyFont="1" applyFill="1" applyBorder="1" applyAlignment="1">
      <alignment horizontal="center" vertical="center"/>
    </xf>
    <xf numFmtId="0" fontId="27" fillId="7" borderId="50" xfId="0" applyFont="1" applyFill="1" applyBorder="1" applyAlignment="1">
      <alignment horizontal="center" vertical="center" wrapText="1"/>
    </xf>
    <xf numFmtId="165" fontId="27" fillId="7" borderId="50" xfId="78" applyNumberFormat="1" applyFont="1" applyFill="1" applyBorder="1" applyAlignment="1">
      <alignment horizontal="center" vertical="center" wrapText="1"/>
    </xf>
    <xf numFmtId="0" fontId="27" fillId="4" borderId="177" xfId="0" applyFont="1" applyFill="1" applyBorder="1" applyAlignment="1">
      <alignment horizontal="center" vertical="center"/>
    </xf>
    <xf numFmtId="0" fontId="27" fillId="4" borderId="182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top"/>
    </xf>
    <xf numFmtId="0" fontId="82" fillId="4" borderId="1" xfId="0" applyFont="1" applyFill="1" applyBorder="1" applyAlignment="1">
      <alignment horizontal="left" vertical="center"/>
    </xf>
    <xf numFmtId="0" fontId="82" fillId="4" borderId="1" xfId="0" applyFont="1" applyFill="1" applyBorder="1" applyAlignment="1">
      <alignment horizontal="right" vertical="center"/>
    </xf>
    <xf numFmtId="0" fontId="80" fillId="7" borderId="50" xfId="0" applyFont="1" applyFill="1" applyBorder="1" applyAlignment="1">
      <alignment horizontal="center" vertical="center"/>
    </xf>
    <xf numFmtId="0" fontId="78" fillId="7" borderId="50" xfId="0" applyFont="1" applyFill="1" applyBorder="1" applyAlignment="1">
      <alignment horizontal="center" vertical="center"/>
    </xf>
    <xf numFmtId="0" fontId="79" fillId="3" borderId="4" xfId="111" applyNumberFormat="1" applyFont="1" applyFill="1" applyBorder="1" applyAlignment="1" applyProtection="1">
      <alignment horizontal="center" vertical="center"/>
    </xf>
    <xf numFmtId="0" fontId="79" fillId="4" borderId="1" xfId="111" applyNumberFormat="1" applyFont="1" applyFill="1" applyBorder="1" applyAlignment="1" applyProtection="1">
      <alignment horizontal="center" vertical="top"/>
    </xf>
    <xf numFmtId="0" fontId="79" fillId="4" borderId="1" xfId="111" applyNumberFormat="1" applyFont="1" applyFill="1" applyBorder="1" applyAlignment="1" applyProtection="1">
      <alignment horizontal="left" vertical="center"/>
    </xf>
    <xf numFmtId="0" fontId="79" fillId="4" borderId="1" xfId="111" applyNumberFormat="1" applyFont="1" applyFill="1" applyBorder="1" applyAlignment="1" applyProtection="1">
      <alignment horizontal="right" vertical="center"/>
    </xf>
    <xf numFmtId="0" fontId="79" fillId="3" borderId="42" xfId="111" applyNumberFormat="1" applyFont="1" applyFill="1" applyBorder="1" applyAlignment="1" applyProtection="1">
      <alignment horizontal="center" vertical="center"/>
    </xf>
    <xf numFmtId="0" fontId="79" fillId="3" borderId="42" xfId="111" applyNumberFormat="1" applyFont="1" applyFill="1" applyBorder="1" applyAlignment="1" applyProtection="1">
      <alignment horizontal="left" vertical="center"/>
    </xf>
    <xf numFmtId="0" fontId="79" fillId="3" borderId="43" xfId="111" applyNumberFormat="1" applyFont="1" applyFill="1" applyBorder="1" applyAlignment="1" applyProtection="1">
      <alignment horizontal="center" vertical="center"/>
    </xf>
    <xf numFmtId="0" fontId="79" fillId="4" borderId="16" xfId="111" applyNumberFormat="1" applyFont="1" applyFill="1" applyBorder="1" applyAlignment="1" applyProtection="1">
      <alignment horizontal="center" vertical="center"/>
    </xf>
    <xf numFmtId="0" fontId="49" fillId="4" borderId="1" xfId="111" applyNumberFormat="1" applyFont="1" applyFill="1" applyBorder="1" applyAlignment="1" applyProtection="1">
      <alignment horizontal="left" vertical="top"/>
    </xf>
    <xf numFmtId="0" fontId="79" fillId="3" borderId="149" xfId="111" applyNumberFormat="1" applyFont="1" applyFill="1" applyBorder="1" applyAlignment="1" applyProtection="1">
      <alignment horizontal="left" vertical="center"/>
    </xf>
    <xf numFmtId="0" fontId="79" fillId="3" borderId="150" xfId="111" applyNumberFormat="1" applyFont="1" applyFill="1" applyBorder="1" applyAlignment="1" applyProtection="1">
      <alignment horizontal="left" vertical="center"/>
    </xf>
    <xf numFmtId="0" fontId="79" fillId="3" borderId="3" xfId="111" applyNumberFormat="1" applyFont="1" applyFill="1" applyBorder="1" applyAlignment="1" applyProtection="1">
      <alignment horizontal="center" vertical="center"/>
    </xf>
    <xf numFmtId="0" fontId="79" fillId="3" borderId="3" xfId="111" applyNumberFormat="1" applyFont="1" applyFill="1" applyBorder="1" applyAlignment="1" applyProtection="1">
      <alignment horizontal="left" vertical="center"/>
    </xf>
    <xf numFmtId="0" fontId="79" fillId="3" borderId="5" xfId="111" applyNumberFormat="1" applyFont="1" applyFill="1" applyBorder="1" applyAlignment="1" applyProtection="1">
      <alignment horizontal="center" vertical="center"/>
    </xf>
    <xf numFmtId="0" fontId="79" fillId="3" borderId="6" xfId="111" applyNumberFormat="1" applyFont="1" applyFill="1" applyBorder="1" applyAlignment="1" applyProtection="1">
      <alignment horizontal="center" vertical="center"/>
    </xf>
    <xf numFmtId="0" fontId="79" fillId="3" borderId="7" xfId="111" applyNumberFormat="1" applyFont="1" applyFill="1" applyBorder="1" applyAlignment="1" applyProtection="1">
      <alignment horizontal="center" vertical="center"/>
    </xf>
    <xf numFmtId="0" fontId="79" fillId="3" borderId="8" xfId="111" applyNumberFormat="1" applyFont="1" applyFill="1" applyBorder="1" applyAlignment="1" applyProtection="1">
      <alignment horizontal="center" vertical="center" wrapText="1"/>
    </xf>
    <xf numFmtId="0" fontId="79" fillId="3" borderId="6" xfId="111" applyNumberFormat="1" applyFont="1" applyFill="1" applyBorder="1" applyAlignment="1" applyProtection="1">
      <alignment horizontal="center" vertical="center" wrapText="1"/>
    </xf>
    <xf numFmtId="0" fontId="79" fillId="3" borderId="84" xfId="111" applyNumberFormat="1" applyFont="1" applyFill="1" applyBorder="1" applyAlignment="1" applyProtection="1">
      <alignment horizontal="center" vertical="center"/>
    </xf>
    <xf numFmtId="0" fontId="79" fillId="3" borderId="85" xfId="111" applyNumberFormat="1" applyFont="1" applyFill="1" applyBorder="1" applyAlignment="1" applyProtection="1">
      <alignment horizontal="center" vertical="center"/>
    </xf>
    <xf numFmtId="0" fontId="124" fillId="3" borderId="7" xfId="10" applyNumberFormat="1" applyFont="1" applyFill="1" applyBorder="1" applyAlignment="1" applyProtection="1">
      <alignment horizontal="center" vertical="center"/>
    </xf>
    <xf numFmtId="0" fontId="122" fillId="4" borderId="1" xfId="10" applyNumberFormat="1" applyFont="1" applyFill="1" applyBorder="1" applyAlignment="1" applyProtection="1">
      <alignment horizontal="left" vertical="top"/>
    </xf>
    <xf numFmtId="0" fontId="79" fillId="4" borderId="16" xfId="10" applyNumberFormat="1" applyFont="1" applyFill="1" applyBorder="1" applyAlignment="1" applyProtection="1">
      <alignment horizontal="center" vertical="center"/>
    </xf>
    <xf numFmtId="0" fontId="124" fillId="3" borderId="6" xfId="10" applyNumberFormat="1" applyFont="1" applyFill="1" applyBorder="1" applyAlignment="1" applyProtection="1">
      <alignment horizontal="center" vertical="center" wrapText="1"/>
    </xf>
    <xf numFmtId="0" fontId="123" fillId="3" borderId="42" xfId="10" applyNumberFormat="1" applyFont="1" applyFill="1" applyBorder="1" applyAlignment="1" applyProtection="1">
      <alignment horizontal="center" vertical="center"/>
    </xf>
    <xf numFmtId="0" fontId="123" fillId="3" borderId="42" xfId="10" applyNumberFormat="1" applyFont="1" applyFill="1" applyBorder="1" applyAlignment="1" applyProtection="1">
      <alignment horizontal="left" vertical="center"/>
    </xf>
    <xf numFmtId="0" fontId="123" fillId="3" borderId="43" xfId="10" applyNumberFormat="1" applyFont="1" applyFill="1" applyBorder="1" applyAlignment="1" applyProtection="1">
      <alignment horizontal="center" vertical="center"/>
    </xf>
    <xf numFmtId="0" fontId="64" fillId="3" borderId="5" xfId="10" applyNumberFormat="1" applyFont="1" applyFill="1" applyBorder="1" applyAlignment="1" applyProtection="1">
      <alignment horizontal="center" vertical="center"/>
    </xf>
    <xf numFmtId="0" fontId="123" fillId="3" borderId="6" xfId="10" applyNumberFormat="1" applyFont="1" applyFill="1" applyBorder="1" applyAlignment="1" applyProtection="1">
      <alignment horizontal="center" vertical="center"/>
    </xf>
    <xf numFmtId="0" fontId="124" fillId="3" borderId="8" xfId="10" applyNumberFormat="1" applyFont="1" applyFill="1" applyBorder="1" applyAlignment="1" applyProtection="1">
      <alignment horizontal="center" vertical="center" wrapText="1"/>
    </xf>
    <xf numFmtId="0" fontId="64" fillId="4" borderId="1" xfId="10" applyNumberFormat="1" applyFont="1" applyFill="1" applyBorder="1" applyAlignment="1" applyProtection="1">
      <alignment horizontal="center" vertical="top"/>
    </xf>
    <xf numFmtId="0" fontId="123" fillId="4" borderId="1" xfId="10" applyNumberFormat="1" applyFont="1" applyFill="1" applyBorder="1" applyAlignment="1" applyProtection="1">
      <alignment horizontal="left" vertical="center"/>
    </xf>
    <xf numFmtId="0" fontId="123" fillId="4" borderId="1" xfId="10" applyNumberFormat="1" applyFont="1" applyFill="1" applyBorder="1" applyAlignment="1" applyProtection="1">
      <alignment horizontal="right" vertical="center"/>
    </xf>
    <xf numFmtId="0" fontId="123" fillId="3" borderId="2" xfId="10" applyNumberFormat="1" applyFont="1" applyFill="1" applyBorder="1" applyAlignment="1" applyProtection="1">
      <alignment horizontal="left" vertical="center"/>
    </xf>
    <xf numFmtId="0" fontId="123" fillId="3" borderId="3" xfId="10" applyNumberFormat="1" applyFont="1" applyFill="1" applyBorder="1" applyAlignment="1" applyProtection="1">
      <alignment horizontal="center" vertical="center"/>
    </xf>
    <xf numFmtId="0" fontId="123" fillId="3" borderId="3" xfId="10" applyNumberFormat="1" applyFont="1" applyFill="1" applyBorder="1" applyAlignment="1" applyProtection="1">
      <alignment horizontal="left" vertical="center"/>
    </xf>
    <xf numFmtId="0" fontId="123" fillId="3" borderId="4" xfId="10" applyNumberFormat="1" applyFont="1" applyFill="1" applyBorder="1" applyAlignment="1" applyProtection="1">
      <alignment horizontal="center" vertical="center"/>
    </xf>
    <xf numFmtId="0" fontId="78" fillId="3" borderId="2" xfId="0" applyNumberFormat="1" applyFont="1" applyFill="1" applyBorder="1" applyAlignment="1" applyProtection="1">
      <alignment horizontal="left" vertical="center"/>
    </xf>
    <xf numFmtId="0" fontId="78" fillId="3" borderId="3" xfId="0" applyNumberFormat="1" applyFont="1" applyFill="1" applyBorder="1" applyAlignment="1" applyProtection="1">
      <alignment horizontal="center" vertical="center"/>
    </xf>
    <xf numFmtId="0" fontId="78" fillId="3" borderId="3" xfId="0" applyNumberFormat="1" applyFont="1" applyFill="1" applyBorder="1" applyAlignment="1" applyProtection="1">
      <alignment horizontal="left" vertical="center"/>
    </xf>
    <xf numFmtId="0" fontId="78" fillId="3" borderId="4" xfId="0" applyNumberFormat="1" applyFont="1" applyFill="1" applyBorder="1" applyAlignment="1" applyProtection="1">
      <alignment horizontal="center" vertical="center"/>
    </xf>
    <xf numFmtId="0" fontId="28" fillId="4" borderId="27" xfId="0" applyNumberFormat="1" applyFont="1" applyFill="1" applyBorder="1" applyAlignment="1" applyProtection="1">
      <alignment horizontal="center" vertical="center"/>
    </xf>
    <xf numFmtId="0" fontId="78" fillId="3" borderId="42" xfId="0" applyNumberFormat="1" applyFont="1" applyFill="1" applyBorder="1" applyAlignment="1" applyProtection="1">
      <alignment horizontal="center" vertical="center"/>
    </xf>
    <xf numFmtId="0" fontId="78" fillId="3" borderId="42" xfId="0" applyNumberFormat="1" applyFont="1" applyFill="1" applyBorder="1" applyAlignment="1" applyProtection="1">
      <alignment horizontal="left" vertical="center"/>
    </xf>
    <xf numFmtId="0" fontId="78" fillId="3" borderId="43" xfId="0" applyNumberFormat="1" applyFont="1" applyFill="1" applyBorder="1" applyAlignment="1" applyProtection="1">
      <alignment horizontal="center" vertical="center"/>
    </xf>
    <xf numFmtId="0" fontId="80" fillId="3" borderId="5" xfId="0" applyNumberFormat="1" applyFont="1" applyFill="1" applyBorder="1" applyAlignment="1" applyProtection="1">
      <alignment horizontal="center" vertical="center"/>
    </xf>
    <xf numFmtId="0" fontId="78" fillId="3" borderId="6" xfId="0" applyNumberFormat="1" applyFont="1" applyFill="1" applyBorder="1" applyAlignment="1" applyProtection="1">
      <alignment horizontal="center" vertical="center"/>
    </xf>
    <xf numFmtId="0" fontId="27" fillId="3" borderId="7" xfId="0" applyNumberFormat="1" applyFont="1" applyFill="1" applyBorder="1" applyAlignment="1" applyProtection="1">
      <alignment horizontal="center" vertical="center"/>
    </xf>
    <xf numFmtId="0" fontId="27" fillId="3" borderId="8" xfId="0" applyNumberFormat="1" applyFont="1" applyFill="1" applyBorder="1" applyAlignment="1" applyProtection="1">
      <alignment horizontal="center" vertical="center" wrapText="1"/>
    </xf>
    <xf numFmtId="0" fontId="27" fillId="3" borderId="6" xfId="0" applyNumberFormat="1" applyFont="1" applyFill="1" applyBorder="1" applyAlignment="1" applyProtection="1">
      <alignment horizontal="center" vertical="center" wrapText="1"/>
    </xf>
    <xf numFmtId="0" fontId="122" fillId="4" borderId="33" xfId="0" applyNumberFormat="1" applyFont="1" applyFill="1" applyBorder="1" applyAlignment="1" applyProtection="1">
      <alignment horizontal="center" vertical="center"/>
    </xf>
    <xf numFmtId="0" fontId="122" fillId="4" borderId="49" xfId="0" applyNumberFormat="1" applyFont="1" applyFill="1" applyBorder="1" applyAlignment="1" applyProtection="1">
      <alignment horizontal="center" vertical="center"/>
    </xf>
    <xf numFmtId="0" fontId="122" fillId="4" borderId="73" xfId="0" applyNumberFormat="1" applyFont="1" applyFill="1" applyBorder="1" applyAlignment="1" applyProtection="1">
      <alignment horizontal="center" vertical="center"/>
    </xf>
    <xf numFmtId="0" fontId="123" fillId="7" borderId="75" xfId="0" applyNumberFormat="1" applyFont="1" applyFill="1" applyBorder="1" applyAlignment="1" applyProtection="1">
      <alignment horizontal="center" vertical="center" wrapText="1"/>
    </xf>
    <xf numFmtId="0" fontId="123" fillId="7" borderId="78" xfId="0" applyNumberFormat="1" applyFont="1" applyFill="1" applyBorder="1" applyAlignment="1" applyProtection="1">
      <alignment horizontal="center" vertical="center" wrapText="1"/>
    </xf>
    <xf numFmtId="0" fontId="123" fillId="7" borderId="64" xfId="0" applyNumberFormat="1" applyFont="1" applyFill="1" applyBorder="1" applyAlignment="1" applyProtection="1">
      <alignment horizontal="center" vertical="center" wrapText="1"/>
    </xf>
    <xf numFmtId="0" fontId="123" fillId="7" borderId="38" xfId="0" applyNumberFormat="1" applyFont="1" applyFill="1" applyBorder="1" applyAlignment="1" applyProtection="1">
      <alignment horizontal="center" vertical="center" wrapText="1"/>
    </xf>
    <xf numFmtId="0" fontId="123" fillId="7" borderId="64" xfId="0" applyNumberFormat="1" applyFont="1" applyFill="1" applyBorder="1" applyAlignment="1" applyProtection="1">
      <alignment horizontal="center" vertical="center"/>
    </xf>
    <xf numFmtId="0" fontId="123" fillId="7" borderId="38" xfId="0" applyNumberFormat="1" applyFont="1" applyFill="1" applyBorder="1" applyAlignment="1" applyProtection="1">
      <alignment horizontal="center" vertical="center"/>
    </xf>
    <xf numFmtId="0" fontId="123" fillId="7" borderId="128" xfId="0" applyNumberFormat="1" applyFont="1" applyFill="1" applyBorder="1" applyAlignment="1" applyProtection="1">
      <alignment horizontal="center" vertical="center" wrapText="1"/>
    </xf>
    <xf numFmtId="0" fontId="123" fillId="7" borderId="129" xfId="0" applyNumberFormat="1" applyFont="1" applyFill="1" applyBorder="1" applyAlignment="1" applyProtection="1">
      <alignment horizontal="center" vertical="center"/>
    </xf>
    <xf numFmtId="0" fontId="123" fillId="7" borderId="130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top"/>
    </xf>
    <xf numFmtId="3" fontId="23" fillId="4" borderId="224" xfId="0" applyNumberFormat="1" applyFont="1" applyFill="1" applyBorder="1" applyAlignment="1" applyProtection="1">
      <alignment horizontal="right" vertical="center"/>
    </xf>
    <xf numFmtId="3" fontId="23" fillId="4" borderId="227" xfId="0" applyNumberFormat="1" applyFont="1" applyFill="1" applyBorder="1" applyAlignment="1" applyProtection="1">
      <alignment horizontal="right" vertical="center"/>
    </xf>
    <xf numFmtId="3" fontId="23" fillId="4" borderId="49" xfId="0" applyNumberFormat="1" applyFont="1" applyFill="1" applyBorder="1" applyAlignment="1" applyProtection="1">
      <alignment horizontal="right" vertical="center"/>
    </xf>
    <xf numFmtId="3" fontId="23" fillId="4" borderId="53" xfId="0" applyNumberFormat="1" applyFont="1" applyFill="1" applyBorder="1" applyAlignment="1" applyProtection="1">
      <alignment horizontal="right" vertical="center"/>
    </xf>
    <xf numFmtId="3" fontId="12" fillId="4" borderId="49" xfId="0" applyNumberFormat="1" applyFont="1" applyFill="1" applyBorder="1" applyAlignment="1" applyProtection="1">
      <alignment horizontal="center" vertical="center"/>
    </xf>
    <xf numFmtId="3" fontId="12" fillId="4" borderId="53" xfId="0" applyNumberFormat="1" applyFont="1" applyFill="1" applyBorder="1" applyAlignment="1" applyProtection="1">
      <alignment horizontal="center" vertical="center"/>
    </xf>
    <xf numFmtId="3" fontId="12" fillId="4" borderId="49" xfId="0" applyNumberFormat="1" applyFont="1" applyFill="1" applyBorder="1" applyAlignment="1" applyProtection="1">
      <alignment horizontal="right" vertical="center"/>
    </xf>
    <xf numFmtId="3" fontId="12" fillId="4" borderId="53" xfId="0" applyNumberFormat="1" applyFont="1" applyFill="1" applyBorder="1" applyAlignment="1" applyProtection="1">
      <alignment horizontal="right" vertical="center"/>
    </xf>
    <xf numFmtId="3" fontId="12" fillId="4" borderId="202" xfId="0" applyNumberFormat="1" applyFont="1" applyFill="1" applyBorder="1" applyAlignment="1" applyProtection="1">
      <alignment horizontal="right" vertical="center"/>
    </xf>
    <xf numFmtId="3" fontId="12" fillId="4" borderId="203" xfId="0" applyNumberFormat="1" applyFont="1" applyFill="1" applyBorder="1" applyAlignment="1" applyProtection="1">
      <alignment horizontal="right" vertical="center"/>
    </xf>
    <xf numFmtId="0" fontId="8" fillId="4" borderId="1" xfId="0" applyNumberFormat="1" applyFont="1" applyFill="1" applyBorder="1" applyAlignment="1" applyProtection="1">
      <alignment horizontal="center" vertical="top"/>
    </xf>
    <xf numFmtId="0" fontId="9" fillId="4" borderId="67" xfId="0" applyNumberFormat="1" applyFont="1" applyFill="1" applyBorder="1" applyAlignment="1" applyProtection="1">
      <alignment horizontal="left" vertical="center"/>
    </xf>
    <xf numFmtId="0" fontId="11" fillId="7" borderId="215" xfId="0" applyNumberFormat="1" applyFont="1" applyFill="1" applyBorder="1" applyAlignment="1" applyProtection="1">
      <alignment horizontal="center" vertical="center" wrapText="1"/>
    </xf>
    <xf numFmtId="0" fontId="11" fillId="7" borderId="216" xfId="0" applyNumberFormat="1" applyFont="1" applyFill="1" applyBorder="1" applyAlignment="1" applyProtection="1">
      <alignment horizontal="center" vertical="center" wrapText="1"/>
    </xf>
    <xf numFmtId="0" fontId="10" fillId="7" borderId="217" xfId="0" applyNumberFormat="1" applyFont="1" applyFill="1" applyBorder="1" applyAlignment="1" applyProtection="1">
      <alignment horizontal="center" vertical="center" wrapText="1"/>
    </xf>
    <xf numFmtId="0" fontId="10" fillId="7" borderId="218" xfId="0" applyNumberFormat="1" applyFont="1" applyFill="1" applyBorder="1" applyAlignment="1" applyProtection="1">
      <alignment horizontal="center" vertical="center" wrapText="1"/>
    </xf>
    <xf numFmtId="0" fontId="10" fillId="7" borderId="219" xfId="0" applyNumberFormat="1" applyFont="1" applyFill="1" applyBorder="1" applyAlignment="1" applyProtection="1">
      <alignment horizontal="center" vertical="center" wrapText="1"/>
    </xf>
    <xf numFmtId="0" fontId="10" fillId="7" borderId="217" xfId="0" applyNumberFormat="1" applyFont="1" applyFill="1" applyBorder="1" applyAlignment="1" applyProtection="1">
      <alignment horizontal="center" vertical="center"/>
    </xf>
    <xf numFmtId="0" fontId="10" fillId="7" borderId="218" xfId="0" applyNumberFormat="1" applyFont="1" applyFill="1" applyBorder="1" applyAlignment="1" applyProtection="1">
      <alignment horizontal="center" vertical="center"/>
    </xf>
    <xf numFmtId="0" fontId="10" fillId="7" borderId="219" xfId="0" applyNumberFormat="1" applyFont="1" applyFill="1" applyBorder="1" applyAlignment="1" applyProtection="1">
      <alignment horizontal="center" vertical="center"/>
    </xf>
    <xf numFmtId="0" fontId="10" fillId="7" borderId="54" xfId="0" applyNumberFormat="1" applyFont="1" applyFill="1" applyBorder="1" applyAlignment="1" applyProtection="1">
      <alignment horizontal="center" vertical="center" wrapText="1"/>
    </xf>
    <xf numFmtId="0" fontId="10" fillId="7" borderId="205" xfId="0" applyNumberFormat="1" applyFont="1" applyFill="1" applyBorder="1" applyAlignment="1" applyProtection="1">
      <alignment horizontal="center" vertical="center" wrapText="1"/>
    </xf>
    <xf numFmtId="0" fontId="10" fillId="7" borderId="164" xfId="0" applyNumberFormat="1" applyFont="1" applyFill="1" applyBorder="1" applyAlignment="1" applyProtection="1">
      <alignment horizontal="center" vertical="center" wrapText="1"/>
    </xf>
    <xf numFmtId="0" fontId="10" fillId="7" borderId="220" xfId="0" applyNumberFormat="1" applyFont="1" applyFill="1" applyBorder="1" applyAlignment="1" applyProtection="1">
      <alignment horizontal="center" vertical="center" wrapText="1"/>
    </xf>
    <xf numFmtId="0" fontId="10" fillId="7" borderId="224" xfId="0" applyNumberFormat="1" applyFont="1" applyFill="1" applyBorder="1" applyAlignment="1" applyProtection="1">
      <alignment horizontal="center" vertical="center"/>
    </xf>
    <xf numFmtId="0" fontId="10" fillId="7" borderId="225" xfId="0" applyNumberFormat="1" applyFont="1" applyFill="1" applyBorder="1" applyAlignment="1" applyProtection="1">
      <alignment horizontal="center" vertical="center"/>
    </xf>
    <xf numFmtId="0" fontId="10" fillId="7" borderId="226" xfId="0" applyNumberFormat="1" applyFont="1" applyFill="1" applyBorder="1" applyAlignment="1" applyProtection="1">
      <alignment horizontal="center" vertical="center"/>
    </xf>
    <xf numFmtId="0" fontId="10" fillId="7" borderId="222" xfId="0" applyNumberFormat="1" applyFont="1" applyFill="1" applyBorder="1" applyAlignment="1" applyProtection="1">
      <alignment horizontal="center" vertical="center"/>
    </xf>
    <xf numFmtId="0" fontId="10" fillId="7" borderId="223" xfId="0" applyNumberFormat="1" applyFont="1" applyFill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top"/>
    </xf>
    <xf numFmtId="0" fontId="7" fillId="4" borderId="83" xfId="0" applyNumberFormat="1" applyFont="1" applyFill="1" applyBorder="1" applyAlignment="1" applyProtection="1">
      <alignment horizontal="left" vertical="top"/>
    </xf>
    <xf numFmtId="0" fontId="10" fillId="7" borderId="188" xfId="0" applyNumberFormat="1" applyFont="1" applyFill="1" applyBorder="1" applyAlignment="1" applyProtection="1">
      <alignment horizontal="center" vertical="center" wrapText="1"/>
    </xf>
    <xf numFmtId="0" fontId="10" fillId="7" borderId="189" xfId="0" applyNumberFormat="1" applyFont="1" applyFill="1" applyBorder="1" applyAlignment="1" applyProtection="1">
      <alignment horizontal="center" vertical="center" wrapText="1"/>
    </xf>
    <xf numFmtId="0" fontId="10" fillId="7" borderId="221" xfId="0" applyNumberFormat="1" applyFont="1" applyFill="1" applyBorder="1" applyAlignment="1" applyProtection="1">
      <alignment horizontal="center" vertical="center" wrapText="1"/>
    </xf>
    <xf numFmtId="3" fontId="166" fillId="4" borderId="33" xfId="0" applyNumberFormat="1" applyFont="1" applyFill="1" applyBorder="1" applyAlignment="1" applyProtection="1">
      <alignment horizontal="right" vertical="center"/>
    </xf>
    <xf numFmtId="0" fontId="12" fillId="4" borderId="33" xfId="0" applyNumberFormat="1" applyFont="1" applyFill="1" applyBorder="1" applyAlignment="1" applyProtection="1">
      <alignment horizontal="center" vertical="center"/>
    </xf>
    <xf numFmtId="3" fontId="166" fillId="4" borderId="49" xfId="0" applyNumberFormat="1" applyFont="1" applyFill="1" applyBorder="1" applyAlignment="1" applyProtection="1">
      <alignment horizontal="center" vertical="center"/>
    </xf>
    <xf numFmtId="3" fontId="166" fillId="4" borderId="53" xfId="0" applyNumberFormat="1" applyFont="1" applyFill="1" applyBorder="1" applyAlignment="1" applyProtection="1">
      <alignment horizontal="center" vertical="center"/>
    </xf>
    <xf numFmtId="3" fontId="166" fillId="4" borderId="115" xfId="0" applyNumberFormat="1" applyFont="1" applyFill="1" applyBorder="1" applyAlignment="1" applyProtection="1">
      <alignment horizontal="center" vertical="center"/>
    </xf>
    <xf numFmtId="0" fontId="10" fillId="7" borderId="37" xfId="0" applyNumberFormat="1" applyFont="1" applyFill="1" applyBorder="1" applyAlignment="1" applyProtection="1">
      <alignment horizontal="center" vertical="center" wrapText="1"/>
    </xf>
    <xf numFmtId="0" fontId="10" fillId="7" borderId="38" xfId="0" applyNumberFormat="1" applyFont="1" applyFill="1" applyBorder="1" applyAlignment="1" applyProtection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left" vertical="center"/>
    </xf>
    <xf numFmtId="0" fontId="26" fillId="7" borderId="8" xfId="0" applyNumberFormat="1" applyFont="1" applyFill="1" applyBorder="1" applyAlignment="1" applyProtection="1">
      <alignment horizontal="center" vertical="center" wrapText="1"/>
    </xf>
    <xf numFmtId="0" fontId="10" fillId="7" borderId="38" xfId="0" applyNumberFormat="1" applyFont="1" applyFill="1" applyBorder="1" applyAlignment="1" applyProtection="1">
      <alignment horizontal="center" vertical="center"/>
    </xf>
    <xf numFmtId="0" fontId="165" fillId="7" borderId="38" xfId="0" applyNumberFormat="1" applyFont="1" applyFill="1" applyBorder="1" applyAlignment="1" applyProtection="1">
      <alignment horizontal="center" vertical="center" wrapText="1"/>
    </xf>
    <xf numFmtId="0" fontId="165" fillId="7" borderId="39" xfId="0" applyNumberFormat="1" applyFont="1" applyFill="1" applyBorder="1" applyAlignment="1" applyProtection="1">
      <alignment horizontal="center" vertical="center"/>
    </xf>
    <xf numFmtId="0" fontId="165" fillId="7" borderId="8" xfId="0" applyNumberFormat="1" applyFont="1" applyFill="1" applyBorder="1" applyAlignment="1" applyProtection="1">
      <alignment horizontal="center" vertical="center"/>
    </xf>
    <xf numFmtId="0" fontId="169" fillId="4" borderId="177" xfId="0" applyFont="1" applyFill="1" applyBorder="1" applyAlignment="1">
      <alignment horizontal="center" vertical="center"/>
    </xf>
    <xf numFmtId="0" fontId="169" fillId="4" borderId="182" xfId="0" applyFont="1" applyFill="1" applyBorder="1" applyAlignment="1">
      <alignment horizontal="center" vertical="center"/>
    </xf>
    <xf numFmtId="0" fontId="162" fillId="4" borderId="1" xfId="0" applyFont="1" applyFill="1" applyBorder="1" applyAlignment="1">
      <alignment horizontal="center" vertical="top"/>
    </xf>
    <xf numFmtId="0" fontId="167" fillId="4" borderId="1" xfId="0" applyFont="1" applyFill="1" applyBorder="1" applyAlignment="1">
      <alignment horizontal="left" vertical="top"/>
    </xf>
    <xf numFmtId="0" fontId="167" fillId="4" borderId="213" xfId="0" applyFont="1" applyFill="1" applyBorder="1" applyAlignment="1">
      <alignment horizontal="left" vertical="top"/>
    </xf>
    <xf numFmtId="0" fontId="47" fillId="7" borderId="86" xfId="0" applyFont="1" applyFill="1" applyBorder="1" applyAlignment="1">
      <alignment horizontal="center" vertical="center" wrapText="1"/>
    </xf>
    <xf numFmtId="0" fontId="47" fillId="7" borderId="214" xfId="0" applyFont="1" applyFill="1" applyBorder="1" applyAlignment="1">
      <alignment horizontal="center" vertical="center" wrapText="1"/>
    </xf>
    <xf numFmtId="0" fontId="47" fillId="7" borderId="87" xfId="0" applyFont="1" applyFill="1" applyBorder="1" applyAlignment="1">
      <alignment horizontal="center" vertical="center" wrapText="1"/>
    </xf>
    <xf numFmtId="0" fontId="47" fillId="7" borderId="183" xfId="0" applyFont="1" applyFill="1" applyBorder="1" applyAlignment="1">
      <alignment horizontal="center" vertical="center" wrapText="1"/>
    </xf>
    <xf numFmtId="0" fontId="47" fillId="7" borderId="184" xfId="0" applyFont="1" applyFill="1" applyBorder="1" applyAlignment="1">
      <alignment horizontal="center" vertical="center" wrapText="1"/>
    </xf>
    <xf numFmtId="0" fontId="47" fillId="7" borderId="137" xfId="0" applyFont="1" applyFill="1" applyBorder="1" applyAlignment="1">
      <alignment horizontal="center" vertical="center" wrapText="1"/>
    </xf>
    <xf numFmtId="0" fontId="47" fillId="7" borderId="213" xfId="0" applyFont="1" applyFill="1" applyBorder="1" applyAlignment="1">
      <alignment horizontal="center" vertical="center" wrapText="1"/>
    </xf>
    <xf numFmtId="0" fontId="47" fillId="7" borderId="185" xfId="0" applyFont="1" applyFill="1" applyBorder="1" applyAlignment="1">
      <alignment horizontal="center" vertical="center" wrapText="1"/>
    </xf>
    <xf numFmtId="0" fontId="47" fillId="7" borderId="186" xfId="0" applyFont="1" applyFill="1" applyBorder="1" applyAlignment="1">
      <alignment horizontal="center" vertical="center" wrapText="1"/>
    </xf>
    <xf numFmtId="0" fontId="47" fillId="7" borderId="177" xfId="0" applyFont="1" applyFill="1" applyBorder="1" applyAlignment="1">
      <alignment horizontal="center" vertical="center"/>
    </xf>
    <xf numFmtId="0" fontId="47" fillId="7" borderId="181" xfId="0" applyFont="1" applyFill="1" applyBorder="1" applyAlignment="1">
      <alignment horizontal="center" vertical="center"/>
    </xf>
    <xf numFmtId="0" fontId="47" fillId="7" borderId="182" xfId="0" applyFont="1" applyFill="1" applyBorder="1" applyAlignment="1">
      <alignment horizontal="center" vertical="center"/>
    </xf>
    <xf numFmtId="0" fontId="168" fillId="4" borderId="55" xfId="0" applyFont="1" applyFill="1" applyBorder="1" applyAlignment="1">
      <alignment horizontal="left" vertical="center"/>
    </xf>
    <xf numFmtId="0" fontId="142" fillId="4" borderId="33" xfId="0" applyNumberFormat="1" applyFont="1" applyFill="1" applyBorder="1" applyAlignment="1" applyProtection="1">
      <alignment horizontal="center" vertical="center"/>
    </xf>
    <xf numFmtId="0" fontId="142" fillId="4" borderId="1" xfId="0" applyNumberFormat="1" applyFont="1" applyFill="1" applyBorder="1" applyAlignment="1" applyProtection="1">
      <alignment horizontal="left" vertical="top"/>
    </xf>
    <xf numFmtId="0" fontId="142" fillId="4" borderId="58" xfId="0" applyNumberFormat="1" applyFont="1" applyFill="1" applyBorder="1" applyAlignment="1" applyProtection="1">
      <alignment horizontal="center" vertical="center"/>
    </xf>
    <xf numFmtId="0" fontId="157" fillId="4" borderId="1" xfId="0" applyNumberFormat="1" applyFont="1" applyFill="1" applyBorder="1" applyAlignment="1" applyProtection="1">
      <alignment horizontal="center" vertical="top"/>
    </xf>
    <xf numFmtId="0" fontId="158" fillId="4" borderId="1" xfId="0" applyNumberFormat="1" applyFont="1" applyFill="1" applyBorder="1" applyAlignment="1" applyProtection="1">
      <alignment horizontal="left" vertical="center"/>
    </xf>
    <xf numFmtId="0" fontId="163" fillId="7" borderId="215" xfId="0" applyNumberFormat="1" applyFont="1" applyFill="1" applyBorder="1" applyAlignment="1" applyProtection="1">
      <alignment horizontal="center" vertical="center" wrapText="1"/>
    </xf>
    <xf numFmtId="0" fontId="163" fillId="7" borderId="216" xfId="0" applyNumberFormat="1" applyFont="1" applyFill="1" applyBorder="1" applyAlignment="1" applyProtection="1">
      <alignment horizontal="center" vertical="center" wrapText="1"/>
    </xf>
    <xf numFmtId="0" fontId="156" fillId="4" borderId="1" xfId="0" applyNumberFormat="1" applyFont="1" applyFill="1" applyBorder="1" applyAlignment="1" applyProtection="1">
      <alignment horizontal="left" vertical="top"/>
    </xf>
    <xf numFmtId="0" fontId="164" fillId="7" borderId="222" xfId="0" applyNumberFormat="1" applyFont="1" applyFill="1" applyBorder="1" applyAlignment="1" applyProtection="1">
      <alignment horizontal="center" vertical="center"/>
    </xf>
    <xf numFmtId="0" fontId="164" fillId="7" borderId="223" xfId="0" applyNumberFormat="1" applyFont="1" applyFill="1" applyBorder="1" applyAlignment="1" applyProtection="1">
      <alignment horizontal="center" vertical="center"/>
    </xf>
    <xf numFmtId="3" fontId="142" fillId="4" borderId="49" xfId="0" applyNumberFormat="1" applyFont="1" applyFill="1" applyBorder="1" applyAlignment="1" applyProtection="1">
      <alignment horizontal="right" vertical="center"/>
    </xf>
    <xf numFmtId="3" fontId="142" fillId="4" borderId="53" xfId="0" applyNumberFormat="1" applyFont="1" applyFill="1" applyBorder="1" applyAlignment="1" applyProtection="1">
      <alignment horizontal="right" vertical="center"/>
    </xf>
    <xf numFmtId="165" fontId="142" fillId="4" borderId="229" xfId="77" applyNumberFormat="1" applyFont="1" applyFill="1" applyBorder="1" applyAlignment="1" applyProtection="1">
      <alignment horizontal="right" vertical="center"/>
    </xf>
    <xf numFmtId="165" fontId="142" fillId="4" borderId="230" xfId="77" applyNumberFormat="1" applyFont="1" applyFill="1" applyBorder="1" applyAlignment="1" applyProtection="1">
      <alignment horizontal="right" vertical="center"/>
    </xf>
    <xf numFmtId="3" fontId="142" fillId="4" borderId="231" xfId="0" applyNumberFormat="1" applyFont="1" applyFill="1" applyBorder="1" applyAlignment="1" applyProtection="1">
      <alignment horizontal="right" vertical="center"/>
    </xf>
    <xf numFmtId="3" fontId="142" fillId="4" borderId="232" xfId="0" applyNumberFormat="1" applyFont="1" applyFill="1" applyBorder="1" applyAlignment="1" applyProtection="1">
      <alignment horizontal="right" vertical="center"/>
    </xf>
    <xf numFmtId="3" fontId="166" fillId="4" borderId="33" xfId="11" applyNumberFormat="1" applyFont="1" applyFill="1" applyBorder="1" applyAlignment="1" applyProtection="1">
      <alignment horizontal="right" vertical="center"/>
    </xf>
    <xf numFmtId="3" fontId="166" fillId="4" borderId="58" xfId="11" applyNumberFormat="1" applyFont="1" applyFill="1" applyBorder="1" applyAlignment="1" applyProtection="1">
      <alignment horizontal="right" vertical="center"/>
    </xf>
    <xf numFmtId="0" fontId="33" fillId="4" borderId="1" xfId="11" applyNumberFormat="1" applyFont="1" applyFill="1" applyBorder="1" applyAlignment="1" applyProtection="1">
      <alignment horizontal="left" vertical="top"/>
    </xf>
    <xf numFmtId="0" fontId="165" fillId="7" borderId="37" xfId="11" applyNumberFormat="1" applyFont="1" applyFill="1" applyBorder="1" applyAlignment="1" applyProtection="1">
      <alignment horizontal="center" vertical="center" wrapText="1"/>
    </xf>
    <xf numFmtId="0" fontId="165" fillId="7" borderId="38" xfId="11" applyNumberFormat="1" applyFont="1" applyFill="1" applyBorder="1" applyAlignment="1" applyProtection="1">
      <alignment horizontal="center" vertical="center" wrapText="1"/>
    </xf>
    <xf numFmtId="0" fontId="78" fillId="4" borderId="1" xfId="11" applyNumberFormat="1" applyFont="1" applyFill="1" applyBorder="1" applyAlignment="1" applyProtection="1">
      <alignment horizontal="center" vertical="top"/>
    </xf>
    <xf numFmtId="0" fontId="173" fillId="4" borderId="1" xfId="11" applyNumberFormat="1" applyFont="1" applyFill="1" applyBorder="1" applyAlignment="1" applyProtection="1">
      <alignment horizontal="left" vertical="center"/>
    </xf>
    <xf numFmtId="0" fontId="165" fillId="7" borderId="39" xfId="11" applyNumberFormat="1" applyFont="1" applyFill="1" applyBorder="1" applyAlignment="1" applyProtection="1">
      <alignment horizontal="center" vertical="center"/>
    </xf>
    <xf numFmtId="0" fontId="165" fillId="7" borderId="8" xfId="11" applyNumberFormat="1" applyFont="1" applyFill="1" applyBorder="1" applyAlignment="1" applyProtection="1">
      <alignment horizontal="center" vertical="center"/>
    </xf>
    <xf numFmtId="0" fontId="26" fillId="7" borderId="8" xfId="11" applyNumberFormat="1" applyFont="1" applyFill="1" applyBorder="1" applyAlignment="1" applyProtection="1">
      <alignment horizontal="center" vertical="center" wrapText="1"/>
    </xf>
    <xf numFmtId="3" fontId="166" fillId="4" borderId="49" xfId="0" applyNumberFormat="1" applyFont="1" applyFill="1" applyBorder="1" applyAlignment="1" applyProtection="1">
      <alignment horizontal="right" vertical="center"/>
    </xf>
    <xf numFmtId="3" fontId="166" fillId="4" borderId="53" xfId="0" applyNumberFormat="1" applyFont="1" applyFill="1" applyBorder="1" applyAlignment="1" applyProtection="1">
      <alignment horizontal="right" vertical="center"/>
    </xf>
    <xf numFmtId="9" fontId="166" fillId="4" borderId="49" xfId="449" applyFont="1" applyFill="1" applyBorder="1" applyAlignment="1" applyProtection="1">
      <alignment horizontal="right" vertical="center"/>
    </xf>
    <xf numFmtId="9" fontId="166" fillId="4" borderId="53" xfId="449" applyFont="1" applyFill="1" applyBorder="1" applyAlignment="1" applyProtection="1">
      <alignment horizontal="right" vertical="center"/>
    </xf>
    <xf numFmtId="0" fontId="80" fillId="4" borderId="1" xfId="0" applyNumberFormat="1" applyFont="1" applyFill="1" applyBorder="1" applyAlignment="1" applyProtection="1">
      <alignment horizontal="center" vertical="top"/>
    </xf>
    <xf numFmtId="0" fontId="173" fillId="4" borderId="1" xfId="0" applyNumberFormat="1" applyFont="1" applyFill="1" applyBorder="1" applyAlignment="1" applyProtection="1">
      <alignment horizontal="left" vertical="center"/>
    </xf>
    <xf numFmtId="0" fontId="26" fillId="7" borderId="215" xfId="0" applyNumberFormat="1" applyFont="1" applyFill="1" applyBorder="1" applyAlignment="1" applyProtection="1">
      <alignment horizontal="center" vertical="center" wrapText="1"/>
    </xf>
    <xf numFmtId="0" fontId="26" fillId="7" borderId="216" xfId="0" applyNumberFormat="1" applyFont="1" applyFill="1" applyBorder="1" applyAlignment="1" applyProtection="1">
      <alignment horizontal="center" vertical="center" wrapText="1"/>
    </xf>
    <xf numFmtId="0" fontId="165" fillId="7" borderId="222" xfId="0" applyNumberFormat="1" applyFont="1" applyFill="1" applyBorder="1" applyAlignment="1" applyProtection="1">
      <alignment horizontal="center" vertical="center"/>
    </xf>
    <xf numFmtId="0" fontId="165" fillId="7" borderId="223" xfId="0" applyNumberFormat="1" applyFont="1" applyFill="1" applyBorder="1" applyAlignment="1" applyProtection="1">
      <alignment horizontal="center" vertical="center"/>
    </xf>
    <xf numFmtId="0" fontId="166" fillId="4" borderId="33" xfId="0" applyNumberFormat="1" applyFont="1" applyFill="1" applyBorder="1" applyAlignment="1" applyProtection="1">
      <alignment horizontal="center" vertical="center"/>
    </xf>
    <xf numFmtId="0" fontId="33" fillId="4" borderId="1" xfId="0" applyNumberFormat="1" applyFont="1" applyFill="1" applyBorder="1" applyAlignment="1" applyProtection="1">
      <alignment horizontal="left" vertical="top"/>
    </xf>
    <xf numFmtId="0" fontId="165" fillId="7" borderId="37" xfId="0" applyNumberFormat="1" applyFont="1" applyFill="1" applyBorder="1" applyAlignment="1" applyProtection="1">
      <alignment horizontal="center" vertical="center" wrapText="1"/>
    </xf>
    <xf numFmtId="0" fontId="165" fillId="7" borderId="38" xfId="0" applyNumberFormat="1" applyFont="1" applyFill="1" applyBorder="1" applyAlignment="1" applyProtection="1">
      <alignment horizontal="center" vertical="center"/>
    </xf>
    <xf numFmtId="0" fontId="140" fillId="3" borderId="7" xfId="0" applyNumberFormat="1" applyFont="1" applyFill="1" applyBorder="1" applyAlignment="1" applyProtection="1">
      <alignment horizontal="center" vertical="center"/>
    </xf>
    <xf numFmtId="0" fontId="140" fillId="3" borderId="153" xfId="0" applyNumberFormat="1" applyFont="1" applyFill="1" applyBorder="1" applyAlignment="1" applyProtection="1">
      <alignment horizontal="center" vertical="center"/>
    </xf>
    <xf numFmtId="0" fontId="140" fillId="3" borderId="207" xfId="0" applyNumberFormat="1" applyFont="1" applyFill="1" applyBorder="1" applyAlignment="1" applyProtection="1">
      <alignment horizontal="center" vertical="center"/>
    </xf>
    <xf numFmtId="0" fontId="28" fillId="4" borderId="16" xfId="0" applyNumberFormat="1" applyFont="1" applyFill="1" applyBorder="1" applyAlignment="1" applyProtection="1">
      <alignment horizontal="center" vertical="center" wrapText="1"/>
    </xf>
    <xf numFmtId="0" fontId="140" fillId="3" borderId="172" xfId="0" applyNumberFormat="1" applyFont="1" applyFill="1" applyBorder="1" applyAlignment="1" applyProtection="1">
      <alignment horizontal="center" vertical="center" wrapText="1"/>
    </xf>
    <xf numFmtId="0" fontId="140" fillId="3" borderId="33" xfId="0" applyNumberFormat="1" applyFont="1" applyFill="1" applyBorder="1" applyAlignment="1" applyProtection="1">
      <alignment horizontal="center" vertical="center" wrapText="1"/>
    </xf>
    <xf numFmtId="0" fontId="140" fillId="3" borderId="151" xfId="0" applyNumberFormat="1" applyFont="1" applyFill="1" applyBorder="1" applyAlignment="1" applyProtection="1">
      <alignment horizontal="center" vertical="center" wrapText="1"/>
    </xf>
    <xf numFmtId="0" fontId="132" fillId="3" borderId="160" xfId="0" applyNumberFormat="1" applyFont="1" applyFill="1" applyBorder="1" applyAlignment="1" applyProtection="1">
      <alignment horizontal="center" vertical="center" wrapText="1"/>
    </xf>
    <xf numFmtId="0" fontId="132" fillId="3" borderId="161" xfId="0" applyNumberFormat="1" applyFont="1" applyFill="1" applyBorder="1" applyAlignment="1" applyProtection="1">
      <alignment horizontal="center" vertical="center" wrapText="1"/>
    </xf>
    <xf numFmtId="0" fontId="132" fillId="3" borderId="159" xfId="0" applyNumberFormat="1" applyFont="1" applyFill="1" applyBorder="1" applyAlignment="1" applyProtection="1">
      <alignment horizontal="center" vertical="center" wrapText="1"/>
    </xf>
    <xf numFmtId="0" fontId="132" fillId="3" borderId="42" xfId="0" applyNumberFormat="1" applyFont="1" applyFill="1" applyBorder="1" applyAlignment="1" applyProtection="1">
      <alignment horizontal="center" vertical="center" wrapText="1"/>
    </xf>
    <xf numFmtId="0" fontId="132" fillId="3" borderId="43" xfId="0" applyNumberFormat="1" applyFont="1" applyFill="1" applyBorder="1" applyAlignment="1" applyProtection="1">
      <alignment horizontal="center" vertical="center" wrapText="1"/>
    </xf>
    <xf numFmtId="0" fontId="132" fillId="3" borderId="3" xfId="0" applyNumberFormat="1" applyFont="1" applyFill="1" applyBorder="1" applyAlignment="1" applyProtection="1">
      <alignment horizontal="center" vertical="center" wrapText="1"/>
    </xf>
    <xf numFmtId="0" fontId="132" fillId="3" borderId="163" xfId="0" applyNumberFormat="1" applyFont="1" applyFill="1" applyBorder="1" applyAlignment="1" applyProtection="1">
      <alignment horizontal="center" vertical="center" wrapText="1"/>
    </xf>
    <xf numFmtId="0" fontId="132" fillId="3" borderId="162" xfId="0" applyNumberFormat="1" applyFont="1" applyFill="1" applyBorder="1" applyAlignment="1" applyProtection="1">
      <alignment horizontal="center" vertical="center" wrapText="1"/>
    </xf>
    <xf numFmtId="0" fontId="132" fillId="3" borderId="4" xfId="0" applyNumberFormat="1" applyFont="1" applyFill="1" applyBorder="1" applyAlignment="1" applyProtection="1">
      <alignment horizontal="center" vertical="center" wrapText="1"/>
    </xf>
    <xf numFmtId="0" fontId="136" fillId="4" borderId="1" xfId="0" applyNumberFormat="1" applyFont="1" applyFill="1" applyBorder="1" applyAlignment="1" applyProtection="1">
      <alignment horizontal="center" vertical="top"/>
    </xf>
    <xf numFmtId="0" fontId="137" fillId="4" borderId="1" xfId="0" applyNumberFormat="1" applyFont="1" applyFill="1" applyBorder="1" applyAlignment="1" applyProtection="1">
      <alignment horizontal="left" vertical="center"/>
    </xf>
    <xf numFmtId="0" fontId="137" fillId="4" borderId="1" xfId="0" applyNumberFormat="1" applyFont="1" applyFill="1" applyBorder="1" applyAlignment="1" applyProtection="1">
      <alignment horizontal="right" vertical="center"/>
    </xf>
    <xf numFmtId="0" fontId="140" fillId="3" borderId="169" xfId="0" applyNumberFormat="1" applyFont="1" applyFill="1" applyBorder="1" applyAlignment="1" applyProtection="1">
      <alignment horizontal="center" vertical="center" wrapText="1"/>
    </xf>
    <xf numFmtId="0" fontId="140" fillId="3" borderId="206" xfId="0" applyNumberFormat="1" applyFont="1" applyFill="1" applyBorder="1" applyAlignment="1" applyProtection="1">
      <alignment horizontal="center" vertical="center" wrapText="1"/>
    </xf>
    <xf numFmtId="0" fontId="140" fillId="3" borderId="170" xfId="0" applyNumberFormat="1" applyFont="1" applyFill="1" applyBorder="1" applyAlignment="1" applyProtection="1">
      <alignment horizontal="center" vertical="center" wrapText="1"/>
    </xf>
    <xf numFmtId="0" fontId="141" fillId="4" borderId="208" xfId="0" applyNumberFormat="1" applyFont="1" applyFill="1" applyBorder="1" applyAlignment="1" applyProtection="1">
      <alignment horizontal="center" vertical="center" wrapText="1"/>
    </xf>
    <xf numFmtId="0" fontId="141" fillId="4" borderId="16" xfId="0" applyNumberFormat="1" applyFont="1" applyFill="1" applyBorder="1" applyAlignment="1" applyProtection="1">
      <alignment horizontal="center" vertical="center" wrapText="1"/>
    </xf>
    <xf numFmtId="0" fontId="141" fillId="4" borderId="178" xfId="0" applyNumberFormat="1" applyFont="1" applyFill="1" applyBorder="1" applyAlignment="1" applyProtection="1">
      <alignment horizontal="center" vertical="center" wrapText="1"/>
    </xf>
    <xf numFmtId="0" fontId="141" fillId="4" borderId="179" xfId="0" applyNumberFormat="1" applyFont="1" applyFill="1" applyBorder="1" applyAlignment="1" applyProtection="1">
      <alignment horizontal="center" vertical="center" wrapText="1"/>
    </xf>
    <xf numFmtId="0" fontId="140" fillId="3" borderId="42" xfId="0" applyNumberFormat="1" applyFont="1" applyFill="1" applyBorder="1" applyAlignment="1" applyProtection="1">
      <alignment horizontal="center" vertical="center" wrapText="1"/>
    </xf>
    <xf numFmtId="0" fontId="140" fillId="3" borderId="43" xfId="0" applyNumberFormat="1" applyFont="1" applyFill="1" applyBorder="1" applyAlignment="1" applyProtection="1">
      <alignment horizontal="center" vertical="center" wrapText="1"/>
    </xf>
    <xf numFmtId="0" fontId="140" fillId="3" borderId="171" xfId="0" applyNumberFormat="1" applyFont="1" applyFill="1" applyBorder="1" applyAlignment="1" applyProtection="1">
      <alignment horizontal="center" vertical="center" wrapText="1"/>
    </xf>
    <xf numFmtId="0" fontId="134" fillId="4" borderId="16" xfId="102" applyNumberFormat="1" applyFont="1" applyFill="1" applyBorder="1" applyAlignment="1" applyProtection="1">
      <alignment horizontal="center" vertical="center" wrapText="1"/>
    </xf>
    <xf numFmtId="0" fontId="134" fillId="4" borderId="233" xfId="102" applyNumberFormat="1" applyFont="1" applyFill="1" applyBorder="1" applyAlignment="1" applyProtection="1">
      <alignment horizontal="center" vertical="center" wrapText="1"/>
    </xf>
    <xf numFmtId="0" fontId="132" fillId="3" borderId="152" xfId="102" applyNumberFormat="1" applyFont="1" applyFill="1" applyBorder="1" applyAlignment="1" applyProtection="1">
      <alignment horizontal="center" vertical="center" wrapText="1"/>
    </xf>
    <xf numFmtId="0" fontId="132" fillId="3" borderId="33" xfId="102" applyNumberFormat="1" applyFont="1" applyFill="1" applyBorder="1" applyAlignment="1" applyProtection="1">
      <alignment horizontal="center" vertical="center" wrapText="1"/>
    </xf>
    <xf numFmtId="0" fontId="132" fillId="3" borderId="151" xfId="102" applyNumberFormat="1" applyFont="1" applyFill="1" applyBorder="1" applyAlignment="1" applyProtection="1">
      <alignment horizontal="center" vertical="center" wrapText="1"/>
    </xf>
    <xf numFmtId="0" fontId="132" fillId="3" borderId="7" xfId="102" applyNumberFormat="1" applyFont="1" applyFill="1" applyBorder="1" applyAlignment="1" applyProtection="1">
      <alignment horizontal="center" vertical="center"/>
    </xf>
    <xf numFmtId="0" fontId="132" fillId="3" borderId="42" xfId="102" applyNumberFormat="1" applyFont="1" applyFill="1" applyBorder="1" applyAlignment="1" applyProtection="1">
      <alignment horizontal="center" vertical="center" wrapText="1"/>
    </xf>
    <xf numFmtId="0" fontId="132" fillId="3" borderId="43" xfId="102" applyNumberFormat="1" applyFont="1" applyFill="1" applyBorder="1" applyAlignment="1" applyProtection="1">
      <alignment horizontal="center" vertical="center" wrapText="1"/>
    </xf>
    <xf numFmtId="0" fontId="132" fillId="3" borderId="153" xfId="102" applyNumberFormat="1" applyFont="1" applyFill="1" applyBorder="1" applyAlignment="1" applyProtection="1">
      <alignment horizontal="center" vertical="center"/>
    </xf>
    <xf numFmtId="0" fontId="132" fillId="4" borderId="1" xfId="102" applyNumberFormat="1" applyFont="1" applyFill="1" applyBorder="1" applyAlignment="1" applyProtection="1">
      <alignment horizontal="center" vertical="top"/>
    </xf>
    <xf numFmtId="0" fontId="133" fillId="4" borderId="1" xfId="102" applyNumberFormat="1" applyFont="1" applyFill="1" applyBorder="1" applyAlignment="1" applyProtection="1">
      <alignment horizontal="left" vertical="center"/>
    </xf>
    <xf numFmtId="0" fontId="133" fillId="4" borderId="1" xfId="102" applyNumberFormat="1" applyFont="1" applyFill="1" applyBorder="1" applyAlignment="1" applyProtection="1">
      <alignment horizontal="right" vertical="center"/>
    </xf>
    <xf numFmtId="0" fontId="132" fillId="3" borderId="3" xfId="102" applyNumberFormat="1" applyFont="1" applyFill="1" applyBorder="1" applyAlignment="1" applyProtection="1">
      <alignment horizontal="center" vertical="center" wrapText="1"/>
    </xf>
    <xf numFmtId="0" fontId="132" fillId="3" borderId="4" xfId="102" applyNumberFormat="1" applyFont="1" applyFill="1" applyBorder="1" applyAlignment="1" applyProtection="1">
      <alignment horizontal="center" vertical="center" wrapText="1"/>
    </xf>
    <xf numFmtId="0" fontId="136" fillId="4" borderId="1" xfId="0" applyFont="1" applyFill="1" applyBorder="1" applyAlignment="1">
      <alignment horizontal="center" vertical="top"/>
    </xf>
    <xf numFmtId="0" fontId="137" fillId="4" borderId="1" xfId="0" applyFont="1" applyFill="1" applyBorder="1" applyAlignment="1">
      <alignment horizontal="left" vertical="center"/>
    </xf>
    <xf numFmtId="0" fontId="137" fillId="4" borderId="1" xfId="0" applyFont="1" applyFill="1" applyBorder="1" applyAlignment="1">
      <alignment horizontal="right" vertical="center"/>
    </xf>
    <xf numFmtId="0" fontId="134" fillId="4" borderId="5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/>
    </xf>
    <xf numFmtId="0" fontId="147" fillId="4" borderId="1" xfId="0" applyNumberFormat="1" applyFont="1" applyFill="1" applyBorder="1" applyAlignment="1" applyProtection="1">
      <alignment horizontal="center" vertical="top"/>
    </xf>
    <xf numFmtId="0" fontId="147" fillId="4" borderId="1" xfId="0" applyNumberFormat="1" applyFont="1" applyFill="1" applyBorder="1" applyAlignment="1" applyProtection="1">
      <alignment horizontal="left" vertical="center"/>
    </xf>
    <xf numFmtId="0" fontId="147" fillId="4" borderId="1" xfId="0" applyNumberFormat="1" applyFont="1" applyFill="1" applyBorder="1" applyAlignment="1" applyProtection="1">
      <alignment horizontal="right" vertical="center"/>
    </xf>
    <xf numFmtId="0" fontId="140" fillId="3" borderId="3" xfId="0" applyNumberFormat="1" applyFont="1" applyFill="1" applyBorder="1" applyAlignment="1" applyProtection="1">
      <alignment horizontal="center" vertical="center" wrapText="1"/>
    </xf>
    <xf numFmtId="0" fontId="140" fillId="3" borderId="4" xfId="0" applyNumberFormat="1" applyFont="1" applyFill="1" applyBorder="1" applyAlignment="1" applyProtection="1">
      <alignment horizontal="center" vertical="center" wrapText="1"/>
    </xf>
    <xf numFmtId="0" fontId="148" fillId="4" borderId="166" xfId="0" applyNumberFormat="1" applyFont="1" applyFill="1" applyBorder="1" applyAlignment="1" applyProtection="1">
      <alignment horizontal="center" vertical="center" wrapText="1"/>
    </xf>
    <xf numFmtId="0" fontId="148" fillId="4" borderId="187" xfId="0" applyNumberFormat="1" applyFont="1" applyFill="1" applyBorder="1" applyAlignment="1" applyProtection="1">
      <alignment horizontal="center" vertical="center" wrapText="1"/>
    </xf>
    <xf numFmtId="0" fontId="148" fillId="4" borderId="167" xfId="0" applyNumberFormat="1" applyFont="1" applyFill="1" applyBorder="1" applyAlignment="1" applyProtection="1">
      <alignment horizontal="center" vertical="center" wrapText="1"/>
    </xf>
    <xf numFmtId="0" fontId="146" fillId="4" borderId="46" xfId="0" applyNumberFormat="1" applyFont="1" applyFill="1" applyBorder="1" applyAlignment="1" applyProtection="1">
      <alignment horizontal="left" vertical="top"/>
    </xf>
    <xf numFmtId="0" fontId="140" fillId="3" borderId="152" xfId="0" applyNumberFormat="1" applyFont="1" applyFill="1" applyBorder="1" applyAlignment="1" applyProtection="1">
      <alignment horizontal="center" vertical="center" wrapText="1"/>
    </xf>
    <xf numFmtId="0" fontId="132" fillId="3" borderId="33" xfId="12" applyNumberFormat="1" applyFont="1" applyFill="1" applyBorder="1" applyAlignment="1" applyProtection="1">
      <alignment horizontal="center" vertical="center" wrapText="1"/>
    </xf>
    <xf numFmtId="0" fontId="132" fillId="3" borderId="151" xfId="12" applyNumberFormat="1" applyFont="1" applyFill="1" applyBorder="1" applyAlignment="1" applyProtection="1">
      <alignment horizontal="center" vertical="center" wrapText="1"/>
    </xf>
    <xf numFmtId="0" fontId="19" fillId="4" borderId="46" xfId="12" applyNumberFormat="1" applyFont="1" applyFill="1" applyBorder="1" applyAlignment="1" applyProtection="1">
      <alignment horizontal="left" vertical="top"/>
    </xf>
    <xf numFmtId="0" fontId="132" fillId="3" borderId="7" xfId="12" applyNumberFormat="1" applyFont="1" applyFill="1" applyBorder="1" applyAlignment="1" applyProtection="1">
      <alignment horizontal="center" vertical="center"/>
    </xf>
    <xf numFmtId="0" fontId="132" fillId="4" borderId="1" xfId="12" applyNumberFormat="1" applyFont="1" applyFill="1" applyBorder="1" applyAlignment="1" applyProtection="1">
      <alignment horizontal="center" vertical="top"/>
    </xf>
    <xf numFmtId="0" fontId="133" fillId="4" borderId="1" xfId="12" applyNumberFormat="1" applyFont="1" applyFill="1" applyBorder="1" applyAlignment="1" applyProtection="1">
      <alignment horizontal="left" vertical="center"/>
    </xf>
    <xf numFmtId="0" fontId="133" fillId="4" borderId="1" xfId="12" applyNumberFormat="1" applyFont="1" applyFill="1" applyBorder="1" applyAlignment="1" applyProtection="1">
      <alignment horizontal="right" vertical="center"/>
    </xf>
    <xf numFmtId="0" fontId="132" fillId="3" borderId="3" xfId="12" applyNumberFormat="1" applyFont="1" applyFill="1" applyBorder="1" applyAlignment="1" applyProtection="1">
      <alignment horizontal="center" vertical="center" wrapText="1"/>
    </xf>
    <xf numFmtId="0" fontId="132" fillId="3" borderId="4" xfId="12" applyNumberFormat="1" applyFont="1" applyFill="1" applyBorder="1" applyAlignment="1" applyProtection="1">
      <alignment horizontal="center" vertical="center" wrapText="1"/>
    </xf>
    <xf numFmtId="0" fontId="132" fillId="3" borderId="42" xfId="12" applyNumberFormat="1" applyFont="1" applyFill="1" applyBorder="1" applyAlignment="1" applyProtection="1">
      <alignment horizontal="center" vertical="center" wrapText="1"/>
    </xf>
    <xf numFmtId="0" fontId="132" fillId="3" borderId="43" xfId="12" applyNumberFormat="1" applyFont="1" applyFill="1" applyBorder="1" applyAlignment="1" applyProtection="1">
      <alignment horizontal="center" vertical="center" wrapText="1"/>
    </xf>
    <xf numFmtId="0" fontId="132" fillId="3" borderId="153" xfId="12" applyNumberFormat="1" applyFont="1" applyFill="1" applyBorder="1" applyAlignment="1" applyProtection="1">
      <alignment horizontal="center" vertical="center"/>
    </xf>
    <xf numFmtId="0" fontId="134" fillId="4" borderId="16" xfId="12" applyNumberFormat="1" applyFont="1" applyFill="1" applyBorder="1" applyAlignment="1" applyProtection="1">
      <alignment horizontal="center" vertical="center" wrapText="1"/>
    </xf>
    <xf numFmtId="0" fontId="132" fillId="3" borderId="152" xfId="12" applyNumberFormat="1" applyFont="1" applyFill="1" applyBorder="1" applyAlignment="1" applyProtection="1">
      <alignment horizontal="center" vertical="center" wrapText="1"/>
    </xf>
    <xf numFmtId="0" fontId="138" fillId="3" borderId="42" xfId="0" applyNumberFormat="1" applyFont="1" applyFill="1" applyBorder="1" applyAlignment="1" applyProtection="1">
      <alignment horizontal="center" vertical="center" wrapText="1"/>
    </xf>
    <xf numFmtId="0" fontId="138" fillId="3" borderId="43" xfId="0" applyNumberFormat="1" applyFont="1" applyFill="1" applyBorder="1" applyAlignment="1" applyProtection="1">
      <alignment horizontal="center" vertical="center" wrapText="1"/>
    </xf>
    <xf numFmtId="0" fontId="138" fillId="3" borderId="3" xfId="0" applyNumberFormat="1" applyFont="1" applyFill="1" applyBorder="1" applyAlignment="1" applyProtection="1">
      <alignment horizontal="center" vertical="center" wrapText="1"/>
    </xf>
    <xf numFmtId="0" fontId="138" fillId="3" borderId="4" xfId="0" applyNumberFormat="1" applyFont="1" applyFill="1" applyBorder="1" applyAlignment="1" applyProtection="1">
      <alignment horizontal="center" vertical="center" wrapText="1"/>
    </xf>
    <xf numFmtId="0" fontId="134" fillId="4" borderId="16" xfId="0" applyNumberFormat="1" applyFont="1" applyFill="1" applyBorder="1" applyAlignment="1" applyProtection="1">
      <alignment horizontal="center" vertical="center" wrapText="1"/>
    </xf>
    <xf numFmtId="0" fontId="1" fillId="4" borderId="46" xfId="0" applyNumberFormat="1" applyFont="1" applyFill="1" applyBorder="1" applyAlignment="1" applyProtection="1">
      <alignment horizontal="left" vertical="top"/>
    </xf>
    <xf numFmtId="0" fontId="138" fillId="3" borderId="152" xfId="0" applyNumberFormat="1" applyFont="1" applyFill="1" applyBorder="1" applyAlignment="1" applyProtection="1">
      <alignment horizontal="center" vertical="center" wrapText="1"/>
    </xf>
    <xf numFmtId="0" fontId="138" fillId="3" borderId="33" xfId="0" applyNumberFormat="1" applyFont="1" applyFill="1" applyBorder="1" applyAlignment="1" applyProtection="1">
      <alignment horizontal="center" vertical="center" wrapText="1"/>
    </xf>
    <xf numFmtId="0" fontId="2" fillId="3" borderId="151" xfId="0" applyNumberFormat="1" applyFont="1" applyFill="1" applyBorder="1" applyAlignment="1" applyProtection="1">
      <alignment horizontal="center" vertical="center" wrapText="1"/>
    </xf>
    <xf numFmtId="0" fontId="34" fillId="5" borderId="1" xfId="6" applyNumberFormat="1" applyFont="1" applyFill="1" applyBorder="1" applyAlignment="1" applyProtection="1">
      <alignment horizontal="left" vertical="top"/>
    </xf>
    <xf numFmtId="0" fontId="28" fillId="5" borderId="76" xfId="6" applyNumberFormat="1" applyFont="1" applyFill="1" applyBorder="1" applyAlignment="1" applyProtection="1">
      <alignment horizontal="center" vertical="center"/>
    </xf>
    <xf numFmtId="0" fontId="28" fillId="5" borderId="77" xfId="6" applyNumberFormat="1" applyFont="1" applyFill="1" applyBorder="1" applyAlignment="1" applyProtection="1">
      <alignment horizontal="center" vertical="center"/>
    </xf>
    <xf numFmtId="0" fontId="28" fillId="5" borderId="8" xfId="6" applyNumberFormat="1" applyFont="1" applyFill="1" applyBorder="1" applyAlignment="1" applyProtection="1">
      <alignment horizontal="center" vertical="center" wrapText="1"/>
    </xf>
    <xf numFmtId="0" fontId="28" fillId="5" borderId="198" xfId="6" applyNumberFormat="1" applyFont="1" applyFill="1" applyBorder="1" applyAlignment="1" applyProtection="1">
      <alignment horizontal="center" vertical="center" wrapText="1"/>
    </xf>
    <xf numFmtId="0" fontId="28" fillId="5" borderId="1" xfId="6" applyNumberFormat="1" applyFont="1" applyFill="1" applyBorder="1" applyAlignment="1" applyProtection="1">
      <alignment horizontal="center" vertical="top"/>
    </xf>
    <xf numFmtId="0" fontId="28" fillId="5" borderId="1" xfId="6" applyNumberFormat="1" applyFont="1" applyFill="1" applyBorder="1" applyAlignment="1" applyProtection="1">
      <alignment horizontal="left" vertical="center"/>
    </xf>
    <xf numFmtId="0" fontId="28" fillId="5" borderId="75" xfId="6" applyNumberFormat="1" applyFont="1" applyFill="1" applyBorder="1" applyAlignment="1" applyProtection="1">
      <alignment horizontal="center" vertical="center" wrapText="1"/>
    </xf>
    <xf numFmtId="0" fontId="28" fillId="5" borderId="78" xfId="6" applyNumberFormat="1" applyFont="1" applyFill="1" applyBorder="1" applyAlignment="1" applyProtection="1">
      <alignment horizontal="center" vertical="center" wrapText="1"/>
    </xf>
    <xf numFmtId="0" fontId="28" fillId="5" borderId="196" xfId="6" applyNumberFormat="1" applyFont="1" applyFill="1" applyBorder="1" applyAlignment="1" applyProtection="1">
      <alignment horizontal="center" vertical="center" wrapText="1"/>
    </xf>
    <xf numFmtId="0" fontId="28" fillId="5" borderId="64" xfId="6" applyNumberFormat="1" applyFont="1" applyFill="1" applyBorder="1" applyAlignment="1" applyProtection="1">
      <alignment horizontal="center" vertical="center" wrapText="1"/>
    </xf>
    <xf numFmtId="0" fontId="28" fillId="5" borderId="38" xfId="6" applyNumberFormat="1" applyFont="1" applyFill="1" applyBorder="1" applyAlignment="1" applyProtection="1">
      <alignment horizontal="center" vertical="center" wrapText="1"/>
    </xf>
    <xf numFmtId="0" fontId="28" fillId="5" borderId="197" xfId="6" applyNumberFormat="1" applyFont="1" applyFill="1" applyBorder="1" applyAlignment="1" applyProtection="1">
      <alignment horizontal="center" vertical="center" wrapText="1"/>
    </xf>
    <xf numFmtId="0" fontId="28" fillId="5" borderId="64" xfId="6" applyNumberFormat="1" applyFont="1" applyFill="1" applyBorder="1" applyAlignment="1" applyProtection="1">
      <alignment horizontal="left" vertical="center" wrapText="1"/>
    </xf>
    <xf numFmtId="0" fontId="28" fillId="5" borderId="38" xfId="6" applyNumberFormat="1" applyFont="1" applyFill="1" applyBorder="1" applyAlignment="1" applyProtection="1">
      <alignment horizontal="left" vertical="center" wrapText="1"/>
    </xf>
    <xf numFmtId="0" fontId="28" fillId="5" borderId="197" xfId="6" applyNumberFormat="1" applyFont="1" applyFill="1" applyBorder="1" applyAlignment="1" applyProtection="1">
      <alignment horizontal="left" vertical="center" wrapText="1"/>
    </xf>
    <xf numFmtId="0" fontId="10" fillId="4" borderId="75" xfId="0" applyNumberFormat="1" applyFont="1" applyFill="1" applyBorder="1" applyAlignment="1" applyProtection="1">
      <alignment horizontal="center" vertical="center" wrapText="1"/>
    </xf>
    <xf numFmtId="0" fontId="10" fillId="4" borderId="78" xfId="0" applyNumberFormat="1" applyFont="1" applyFill="1" applyBorder="1" applyAlignment="1" applyProtection="1">
      <alignment horizontal="center" vertical="center" wrapText="1"/>
    </xf>
    <xf numFmtId="0" fontId="10" fillId="4" borderId="196" xfId="0" applyNumberFormat="1" applyFont="1" applyFill="1" applyBorder="1" applyAlignment="1" applyProtection="1">
      <alignment horizontal="center" vertical="center" wrapText="1"/>
    </xf>
    <xf numFmtId="0" fontId="10" fillId="4" borderId="64" xfId="0" applyNumberFormat="1" applyFont="1" applyFill="1" applyBorder="1" applyAlignment="1" applyProtection="1">
      <alignment horizontal="center" vertical="center" wrapText="1"/>
    </xf>
    <xf numFmtId="0" fontId="10" fillId="4" borderId="38" xfId="0" applyNumberFormat="1" applyFont="1" applyFill="1" applyBorder="1" applyAlignment="1" applyProtection="1">
      <alignment horizontal="center" vertical="center" wrapText="1"/>
    </xf>
    <xf numFmtId="0" fontId="10" fillId="4" borderId="197" xfId="0" applyNumberFormat="1" applyFont="1" applyFill="1" applyBorder="1" applyAlignment="1" applyProtection="1">
      <alignment horizontal="center" vertical="center" wrapText="1"/>
    </xf>
    <xf numFmtId="0" fontId="10" fillId="4" borderId="64" xfId="0" applyNumberFormat="1" applyFont="1" applyFill="1" applyBorder="1" applyAlignment="1" applyProtection="1">
      <alignment horizontal="center" vertical="center"/>
    </xf>
    <xf numFmtId="0" fontId="10" fillId="4" borderId="38" xfId="0" applyNumberFormat="1" applyFont="1" applyFill="1" applyBorder="1" applyAlignment="1" applyProtection="1">
      <alignment horizontal="center" vertical="center"/>
    </xf>
    <xf numFmtId="0" fontId="10" fillId="4" borderId="197" xfId="0" applyNumberFormat="1" applyFont="1" applyFill="1" applyBorder="1" applyAlignment="1" applyProtection="1">
      <alignment horizontal="center" vertical="center"/>
    </xf>
    <xf numFmtId="0" fontId="69" fillId="4" borderId="33" xfId="0" applyNumberFormat="1" applyFont="1" applyFill="1" applyBorder="1" applyAlignment="1" applyProtection="1">
      <alignment horizontal="left" vertical="center" wrapText="1"/>
    </xf>
    <xf numFmtId="3" fontId="69" fillId="5" borderId="33" xfId="0" applyNumberFormat="1" applyFont="1" applyFill="1" applyBorder="1" applyAlignment="1" applyProtection="1">
      <alignment horizontal="right" vertical="center"/>
    </xf>
    <xf numFmtId="0" fontId="10" fillId="4" borderId="76" xfId="0" applyNumberFormat="1" applyFont="1" applyFill="1" applyBorder="1" applyAlignment="1" applyProtection="1">
      <alignment horizontal="center" vertical="center"/>
    </xf>
    <xf numFmtId="0" fontId="10" fillId="4" borderId="77" xfId="0" applyNumberFormat="1" applyFont="1" applyFill="1" applyBorder="1" applyAlignment="1" applyProtection="1">
      <alignment horizontal="center" vertical="center"/>
    </xf>
    <xf numFmtId="0" fontId="10" fillId="4" borderId="8" xfId="0" applyNumberFormat="1" applyFont="1" applyFill="1" applyBorder="1" applyAlignment="1" applyProtection="1">
      <alignment horizontal="center" vertical="center" wrapText="1"/>
    </xf>
    <xf numFmtId="0" fontId="10" fillId="4" borderId="198" xfId="0" applyNumberFormat="1" applyFont="1" applyFill="1" applyBorder="1" applyAlignment="1" applyProtection="1">
      <alignment horizontal="center" vertical="center" wrapText="1"/>
    </xf>
    <xf numFmtId="0" fontId="10" fillId="4" borderId="8" xfId="0" applyNumberFormat="1" applyFont="1" applyFill="1" applyBorder="1" applyAlignment="1" applyProtection="1">
      <alignment horizontal="center" vertical="center"/>
    </xf>
    <xf numFmtId="0" fontId="153" fillId="4" borderId="198" xfId="0" applyNumberFormat="1" applyFont="1" applyFill="1" applyBorder="1" applyAlignment="1" applyProtection="1">
      <alignment horizontal="center" vertical="center" wrapText="1"/>
    </xf>
    <xf numFmtId="0" fontId="69" fillId="4" borderId="201" xfId="0" applyNumberFormat="1" applyFont="1" applyFill="1" applyBorder="1" applyAlignment="1" applyProtection="1">
      <alignment horizontal="left" vertical="center" wrapText="1"/>
    </xf>
    <xf numFmtId="3" fontId="69" fillId="5" borderId="201" xfId="0" applyNumberFormat="1" applyFont="1" applyFill="1" applyBorder="1" applyAlignment="1" applyProtection="1">
      <alignment horizontal="right" vertical="center"/>
    </xf>
    <xf numFmtId="3" fontId="69" fillId="5" borderId="49" xfId="0" applyNumberFormat="1" applyFont="1" applyFill="1" applyBorder="1" applyAlignment="1" applyProtection="1">
      <alignment horizontal="center" vertical="center"/>
    </xf>
    <xf numFmtId="3" fontId="69" fillId="5" borderId="53" xfId="0" applyNumberFormat="1" applyFont="1" applyFill="1" applyBorder="1" applyAlignment="1" applyProtection="1">
      <alignment horizontal="center" vertical="center"/>
    </xf>
    <xf numFmtId="0" fontId="69" fillId="4" borderId="73" xfId="0" applyNumberFormat="1" applyFont="1" applyFill="1" applyBorder="1" applyAlignment="1" applyProtection="1">
      <alignment horizontal="left" vertical="center" wrapText="1"/>
    </xf>
    <xf numFmtId="3" fontId="69" fillId="5" borderId="202" xfId="0" applyNumberFormat="1" applyFont="1" applyFill="1" applyBorder="1" applyAlignment="1" applyProtection="1">
      <alignment vertical="center"/>
    </xf>
    <xf numFmtId="3" fontId="69" fillId="5" borderId="203" xfId="0" applyNumberFormat="1" applyFont="1" applyFill="1" applyBorder="1" applyAlignment="1" applyProtection="1">
      <alignment vertical="center"/>
    </xf>
    <xf numFmtId="3" fontId="69" fillId="5" borderId="49" xfId="0" applyNumberFormat="1" applyFont="1" applyFill="1" applyBorder="1" applyAlignment="1" applyProtection="1">
      <alignment vertical="center"/>
    </xf>
    <xf numFmtId="3" fontId="69" fillId="5" borderId="53" xfId="0" applyNumberFormat="1" applyFont="1" applyFill="1" applyBorder="1" applyAlignment="1" applyProtection="1">
      <alignment vertical="center"/>
    </xf>
    <xf numFmtId="3" fontId="69" fillId="5" borderId="49" xfId="0" applyNumberFormat="1" applyFont="1" applyFill="1" applyBorder="1" applyAlignment="1" applyProtection="1">
      <alignment horizontal="right" vertical="center"/>
    </xf>
    <xf numFmtId="3" fontId="69" fillId="5" borderId="53" xfId="0" applyNumberFormat="1" applyFont="1" applyFill="1" applyBorder="1" applyAlignment="1" applyProtection="1">
      <alignment horizontal="right" vertical="center"/>
    </xf>
    <xf numFmtId="0" fontId="145" fillId="4" borderId="1" xfId="106" applyNumberFormat="1" applyFont="1" applyFill="1" applyBorder="1" applyAlignment="1" applyProtection="1">
      <alignment horizontal="center" vertical="top"/>
    </xf>
    <xf numFmtId="0" fontId="46" fillId="4" borderId="1" xfId="106" applyNumberFormat="1" applyFont="1" applyFill="1" applyBorder="1" applyAlignment="1" applyProtection="1">
      <alignment horizontal="left" vertical="center"/>
    </xf>
    <xf numFmtId="0" fontId="47" fillId="4" borderId="75" xfId="106" applyNumberFormat="1" applyFont="1" applyFill="1" applyBorder="1" applyAlignment="1" applyProtection="1">
      <alignment horizontal="center" vertical="center" wrapText="1"/>
    </xf>
    <xf numFmtId="0" fontId="47" fillId="4" borderId="78" xfId="106" applyNumberFormat="1" applyFont="1" applyFill="1" applyBorder="1" applyAlignment="1" applyProtection="1">
      <alignment horizontal="center" vertical="center" wrapText="1"/>
    </xf>
    <xf numFmtId="0" fontId="47" fillId="4" borderId="64" xfId="106" applyNumberFormat="1" applyFont="1" applyFill="1" applyBorder="1" applyAlignment="1" applyProtection="1">
      <alignment horizontal="center" vertical="center" wrapText="1"/>
    </xf>
    <xf numFmtId="0" fontId="47" fillId="4" borderId="38" xfId="106" applyNumberFormat="1" applyFont="1" applyFill="1" applyBorder="1" applyAlignment="1" applyProtection="1">
      <alignment horizontal="center" vertical="center" wrapText="1"/>
    </xf>
    <xf numFmtId="0" fontId="47" fillId="4" borderId="64" xfId="106" applyNumberFormat="1" applyFont="1" applyFill="1" applyBorder="1" applyAlignment="1" applyProtection="1">
      <alignment horizontal="center" vertical="center"/>
    </xf>
    <xf numFmtId="0" fontId="47" fillId="4" borderId="38" xfId="106" applyNumberFormat="1" applyFont="1" applyFill="1" applyBorder="1" applyAlignment="1" applyProtection="1">
      <alignment horizontal="center" vertical="center"/>
    </xf>
    <xf numFmtId="0" fontId="47" fillId="4" borderId="76" xfId="106" applyNumberFormat="1" applyFont="1" applyFill="1" applyBorder="1" applyAlignment="1" applyProtection="1">
      <alignment horizontal="center" vertical="center"/>
    </xf>
    <xf numFmtId="0" fontId="47" fillId="4" borderId="77" xfId="106" applyNumberFormat="1" applyFont="1" applyFill="1" applyBorder="1" applyAlignment="1" applyProtection="1">
      <alignment horizontal="center" vertical="center"/>
    </xf>
    <xf numFmtId="0" fontId="47" fillId="4" borderId="8" xfId="106" applyNumberFormat="1" applyFont="1" applyFill="1" applyBorder="1" applyAlignment="1" applyProtection="1">
      <alignment horizontal="center" vertical="center" wrapText="1"/>
    </xf>
    <xf numFmtId="0" fontId="146" fillId="4" borderId="1" xfId="0" applyNumberFormat="1" applyFont="1" applyFill="1" applyBorder="1" applyAlignment="1" applyProtection="1">
      <alignment horizontal="left" vertical="top"/>
    </xf>
    <xf numFmtId="0" fontId="146" fillId="4" borderId="33" xfId="0" applyNumberFormat="1" applyFont="1" applyFill="1" applyBorder="1" applyAlignment="1" applyProtection="1">
      <alignment horizontal="left" vertical="center" wrapText="1"/>
    </xf>
    <xf numFmtId="3" fontId="146" fillId="4" borderId="33" xfId="0" applyNumberFormat="1" applyFont="1" applyFill="1" applyBorder="1" applyAlignment="1" applyProtection="1">
      <alignment horizontal="right" vertical="center"/>
    </xf>
    <xf numFmtId="0" fontId="146" fillId="4" borderId="58" xfId="0" applyNumberFormat="1" applyFont="1" applyFill="1" applyBorder="1" applyAlignment="1" applyProtection="1">
      <alignment horizontal="left" vertical="center" wrapText="1"/>
    </xf>
    <xf numFmtId="3" fontId="146" fillId="4" borderId="58" xfId="0" applyNumberFormat="1" applyFont="1" applyFill="1" applyBorder="1" applyAlignment="1" applyProtection="1">
      <alignment horizontal="right" vertical="center"/>
    </xf>
    <xf numFmtId="0" fontId="146" fillId="4" borderId="165" xfId="0" applyNumberFormat="1" applyFont="1" applyFill="1" applyBorder="1" applyAlignment="1" applyProtection="1">
      <alignment horizontal="left" vertical="center" wrapText="1"/>
    </xf>
    <xf numFmtId="0" fontId="150" fillId="4" borderId="1" xfId="0" applyNumberFormat="1" applyFont="1" applyFill="1" applyBorder="1" applyAlignment="1" applyProtection="1">
      <alignment horizontal="center" vertical="top"/>
    </xf>
    <xf numFmtId="0" fontId="160" fillId="4" borderId="1" xfId="0" applyNumberFormat="1" applyFont="1" applyFill="1" applyBorder="1" applyAlignment="1" applyProtection="1">
      <alignment horizontal="left" vertical="center"/>
    </xf>
    <xf numFmtId="0" fontId="159" fillId="4" borderId="1" xfId="0" applyNumberFormat="1" applyFont="1" applyFill="1" applyBorder="1" applyAlignment="1" applyProtection="1">
      <alignment horizontal="left" vertical="top"/>
    </xf>
    <xf numFmtId="0" fontId="160" fillId="4" borderId="37" xfId="0" applyNumberFormat="1" applyFont="1" applyFill="1" applyBorder="1" applyAlignment="1" applyProtection="1">
      <alignment horizontal="center" vertical="center" wrapText="1"/>
    </xf>
    <xf numFmtId="0" fontId="160" fillId="4" borderId="38" xfId="0" applyNumberFormat="1" applyFont="1" applyFill="1" applyBorder="1" applyAlignment="1" applyProtection="1">
      <alignment horizontal="center" vertical="center" wrapText="1"/>
    </xf>
    <xf numFmtId="0" fontId="160" fillId="4" borderId="38" xfId="0" applyNumberFormat="1" applyFont="1" applyFill="1" applyBorder="1" applyAlignment="1" applyProtection="1">
      <alignment horizontal="center" vertical="center"/>
    </xf>
    <xf numFmtId="0" fontId="160" fillId="4" borderId="39" xfId="0" applyNumberFormat="1" applyFont="1" applyFill="1" applyBorder="1" applyAlignment="1" applyProtection="1">
      <alignment horizontal="center" vertical="center"/>
    </xf>
    <xf numFmtId="0" fontId="160" fillId="4" borderId="8" xfId="0" applyNumberFormat="1" applyFont="1" applyFill="1" applyBorder="1" applyAlignment="1" applyProtection="1">
      <alignment horizontal="center" vertical="center" wrapText="1"/>
    </xf>
    <xf numFmtId="0" fontId="160" fillId="4" borderId="8" xfId="0" applyNumberFormat="1" applyFont="1" applyFill="1" applyBorder="1" applyAlignment="1" applyProtection="1">
      <alignment horizontal="center" vertical="center"/>
    </xf>
    <xf numFmtId="0" fontId="159" fillId="4" borderId="8" xfId="0" applyNumberFormat="1" applyFont="1" applyFill="1" applyBorder="1" applyAlignment="1" applyProtection="1">
      <alignment horizontal="center" vertical="center" wrapText="1"/>
    </xf>
    <xf numFmtId="0" fontId="166" fillId="4" borderId="50" xfId="0" applyFont="1" applyFill="1" applyBorder="1" applyAlignment="1">
      <alignment horizontal="left" vertical="center" wrapText="1"/>
    </xf>
    <xf numFmtId="0" fontId="165" fillId="4" borderId="50" xfId="0" applyFont="1" applyFill="1" applyBorder="1" applyAlignment="1">
      <alignment horizontal="center" vertical="center"/>
    </xf>
    <xf numFmtId="0" fontId="165" fillId="4" borderId="50" xfId="0" applyFont="1" applyFill="1" applyBorder="1" applyAlignment="1">
      <alignment horizontal="center" vertical="center" wrapText="1"/>
    </xf>
    <xf numFmtId="0" fontId="80" fillId="4" borderId="1" xfId="0" applyFont="1" applyFill="1" applyBorder="1" applyAlignment="1">
      <alignment horizontal="center" vertical="top"/>
    </xf>
    <xf numFmtId="0" fontId="173" fillId="4" borderId="1" xfId="0" applyFont="1" applyFill="1" applyBorder="1" applyAlignment="1">
      <alignment horizontal="left" vertical="center"/>
    </xf>
    <xf numFmtId="0" fontId="17" fillId="4" borderId="33" xfId="0" applyNumberFormat="1" applyFont="1" applyFill="1" applyBorder="1" applyAlignment="1" applyProtection="1">
      <alignment horizontal="left" vertical="center" wrapText="1"/>
    </xf>
    <xf numFmtId="3" fontId="17" fillId="4" borderId="33" xfId="0" applyNumberFormat="1" applyFont="1" applyFill="1" applyBorder="1" applyAlignment="1" applyProtection="1">
      <alignment horizontal="right" vertical="center"/>
    </xf>
    <xf numFmtId="0" fontId="19" fillId="4" borderId="1" xfId="0" applyNumberFormat="1" applyFont="1" applyFill="1" applyBorder="1" applyAlignment="1" applyProtection="1">
      <alignment horizontal="left" vertical="top"/>
    </xf>
    <xf numFmtId="0" fontId="17" fillId="4" borderId="49" xfId="0" applyNumberFormat="1" applyFont="1" applyFill="1" applyBorder="1" applyAlignment="1" applyProtection="1">
      <alignment horizontal="left" vertical="center" wrapText="1"/>
    </xf>
    <xf numFmtId="0" fontId="17" fillId="4" borderId="53" xfId="0" applyNumberFormat="1" applyFont="1" applyFill="1" applyBorder="1" applyAlignment="1" applyProtection="1">
      <alignment horizontal="left" vertical="center" wrapText="1"/>
    </xf>
    <xf numFmtId="0" fontId="17" fillId="5" borderId="49" xfId="0" applyNumberFormat="1" applyFont="1" applyFill="1" applyBorder="1" applyAlignment="1" applyProtection="1">
      <alignment horizontal="left" vertical="center" wrapText="1"/>
    </xf>
    <xf numFmtId="0" fontId="17" fillId="5" borderId="53" xfId="0" applyNumberFormat="1" applyFont="1" applyFill="1" applyBorder="1" applyAlignment="1" applyProtection="1">
      <alignment horizontal="left" vertical="center" wrapText="1"/>
    </xf>
    <xf numFmtId="3" fontId="17" fillId="5" borderId="33" xfId="0" applyNumberFormat="1" applyFont="1" applyFill="1" applyBorder="1" applyAlignment="1" applyProtection="1">
      <alignment horizontal="right" vertical="center"/>
    </xf>
    <xf numFmtId="3" fontId="17" fillId="4" borderId="212" xfId="0" applyNumberFormat="1" applyFont="1" applyFill="1" applyBorder="1" applyAlignment="1" applyProtection="1">
      <alignment horizontal="right" vertical="center"/>
    </xf>
    <xf numFmtId="3" fontId="17" fillId="4" borderId="53" xfId="0" applyNumberFormat="1" applyFont="1" applyFill="1" applyBorder="1" applyAlignment="1" applyProtection="1">
      <alignment horizontal="right" vertical="center"/>
    </xf>
    <xf numFmtId="0" fontId="47" fillId="4" borderId="39" xfId="0" applyNumberFormat="1" applyFont="1" applyFill="1" applyBorder="1" applyAlignment="1" applyProtection="1">
      <alignment horizontal="center" vertical="center"/>
    </xf>
    <xf numFmtId="0" fontId="47" fillId="4" borderId="8" xfId="0" applyNumberFormat="1" applyFont="1" applyFill="1" applyBorder="1" applyAlignment="1" applyProtection="1">
      <alignment horizontal="center" vertical="center" wrapText="1"/>
    </xf>
    <xf numFmtId="0" fontId="47" fillId="4" borderId="8" xfId="0" applyNumberFormat="1" applyFont="1" applyFill="1" applyBorder="1" applyAlignment="1" applyProtection="1">
      <alignment horizontal="center" vertical="center"/>
    </xf>
    <xf numFmtId="0" fontId="48" fillId="4" borderId="8" xfId="0" applyNumberFormat="1" applyFont="1" applyFill="1" applyBorder="1" applyAlignment="1" applyProtection="1">
      <alignment horizontal="center" vertical="center" wrapText="1"/>
    </xf>
    <xf numFmtId="0" fontId="145" fillId="4" borderId="1" xfId="0" applyNumberFormat="1" applyFont="1" applyFill="1" applyBorder="1" applyAlignment="1" applyProtection="1">
      <alignment horizontal="center" vertical="top"/>
    </xf>
    <xf numFmtId="0" fontId="46" fillId="4" borderId="1" xfId="0" applyNumberFormat="1" applyFont="1" applyFill="1" applyBorder="1" applyAlignment="1" applyProtection="1">
      <alignment horizontal="left" vertical="center"/>
    </xf>
    <xf numFmtId="0" fontId="47" fillId="4" borderId="37" xfId="0" applyNumberFormat="1" applyFont="1" applyFill="1" applyBorder="1" applyAlignment="1" applyProtection="1">
      <alignment horizontal="center" vertical="center" wrapText="1"/>
    </xf>
    <xf numFmtId="0" fontId="47" fillId="4" borderId="38" xfId="0" applyNumberFormat="1" applyFont="1" applyFill="1" applyBorder="1" applyAlignment="1" applyProtection="1">
      <alignment horizontal="center" vertical="center" wrapText="1"/>
    </xf>
    <xf numFmtId="0" fontId="47" fillId="4" borderId="38" xfId="0" applyNumberFormat="1" applyFont="1" applyFill="1" applyBorder="1" applyAlignment="1" applyProtection="1">
      <alignment horizontal="center" vertical="center"/>
    </xf>
    <xf numFmtId="0" fontId="28" fillId="4" borderId="16" xfId="102" applyNumberFormat="1" applyFont="1" applyFill="1" applyBorder="1" applyAlignment="1" applyProtection="1">
      <alignment horizontal="center" vertical="center" wrapText="1"/>
    </xf>
    <xf numFmtId="0" fontId="28" fillId="4" borderId="233" xfId="102" applyNumberFormat="1" applyFont="1" applyFill="1" applyBorder="1" applyAlignment="1" applyProtection="1">
      <alignment horizontal="center" vertical="center" wrapText="1"/>
    </xf>
    <xf numFmtId="0" fontId="28" fillId="4" borderId="50" xfId="102" applyNumberFormat="1" applyFont="1" applyFill="1" applyBorder="1" applyAlignment="1" applyProtection="1">
      <alignment horizontal="center" vertical="center"/>
    </xf>
    <xf numFmtId="0" fontId="34" fillId="4" borderId="32" xfId="102" applyNumberFormat="1" applyFont="1" applyFill="1" applyBorder="1" applyAlignment="1" applyProtection="1">
      <alignment horizontal="center" vertical="center"/>
    </xf>
    <xf numFmtId="0" fontId="34" fillId="4" borderId="49" xfId="102" applyNumberFormat="1" applyFont="1" applyFill="1" applyBorder="1" applyAlignment="1" applyProtection="1">
      <alignment horizontal="left" vertical="center" wrapText="1"/>
    </xf>
    <xf numFmtId="0" fontId="34" fillId="4" borderId="50" xfId="102" applyNumberFormat="1" applyFont="1" applyFill="1" applyBorder="1" applyAlignment="1" applyProtection="1">
      <alignment horizontal="left" vertical="center"/>
    </xf>
    <xf numFmtId="3" fontId="34" fillId="4" borderId="50" xfId="102" applyNumberFormat="1" applyFont="1" applyFill="1" applyBorder="1" applyAlignment="1" applyProtection="1">
      <alignment horizontal="right" vertical="center"/>
    </xf>
    <xf numFmtId="0" fontId="34" fillId="4" borderId="50" xfId="102" applyNumberFormat="1" applyFont="1" applyFill="1" applyBorder="1" applyAlignment="1" applyProtection="1">
      <alignment horizontal="right" vertical="center"/>
    </xf>
    <xf numFmtId="165" fontId="34" fillId="4" borderId="50" xfId="77" applyNumberFormat="1" applyFont="1" applyFill="1" applyBorder="1" applyAlignment="1" applyProtection="1">
      <alignment horizontal="right" vertical="center"/>
    </xf>
    <xf numFmtId="165" fontId="50" fillId="5" borderId="50" xfId="77" applyNumberFormat="1" applyFont="1" applyFill="1" applyBorder="1" applyAlignment="1" applyProtection="1">
      <alignment horizontal="right" vertical="center" wrapText="1"/>
    </xf>
    <xf numFmtId="1" fontId="34" fillId="4" borderId="50" xfId="102" applyNumberFormat="1" applyFont="1" applyFill="1" applyBorder="1" applyAlignment="1" applyProtection="1">
      <alignment horizontal="right" vertical="center"/>
    </xf>
    <xf numFmtId="0" fontId="34" fillId="4" borderId="50" xfId="102" applyNumberFormat="1" applyFont="1" applyFill="1" applyBorder="1" applyAlignment="1" applyProtection="1">
      <alignment horizontal="left" vertical="center" wrapText="1"/>
    </xf>
    <xf numFmtId="3" fontId="34" fillId="5" borderId="50" xfId="102" applyNumberFormat="1" applyFont="1" applyFill="1" applyBorder="1" applyAlignment="1" applyProtection="1">
      <alignment horizontal="right" vertical="center"/>
    </xf>
    <xf numFmtId="165" fontId="34" fillId="5" borderId="50" xfId="77" applyNumberFormat="1" applyFont="1" applyFill="1" applyBorder="1" applyAlignment="1" applyProtection="1">
      <alignment horizontal="right" vertical="center"/>
    </xf>
    <xf numFmtId="165" fontId="34" fillId="4" borderId="50" xfId="102" applyNumberFormat="1" applyFont="1" applyFill="1" applyBorder="1" applyAlignment="1" applyProtection="1">
      <alignment horizontal="right" vertical="center"/>
    </xf>
    <xf numFmtId="43" fontId="34" fillId="4" borderId="50" xfId="102" applyNumberFormat="1" applyFont="1" applyFill="1" applyBorder="1" applyAlignment="1" applyProtection="1">
      <alignment horizontal="right" vertical="center"/>
    </xf>
    <xf numFmtId="0" fontId="34" fillId="4" borderId="49" xfId="12" applyNumberFormat="1" applyFont="1" applyFill="1" applyBorder="1" applyAlignment="1" applyProtection="1">
      <alignment horizontal="left" vertical="center"/>
    </xf>
    <xf numFmtId="165" fontId="49" fillId="0" borderId="50" xfId="78" applyNumberFormat="1" applyFont="1" applyBorder="1"/>
    <xf numFmtId="0" fontId="34" fillId="4" borderId="33" xfId="12" applyNumberFormat="1" applyFont="1" applyFill="1" applyBorder="1" applyAlignment="1" applyProtection="1">
      <alignment horizontal="left" vertical="center"/>
    </xf>
    <xf numFmtId="0" fontId="28" fillId="4" borderId="17" xfId="12" applyNumberFormat="1" applyFont="1" applyFill="1" applyBorder="1" applyAlignment="1" applyProtection="1">
      <alignment horizontal="center" vertical="center"/>
    </xf>
    <xf numFmtId="0" fontId="28" fillId="4" borderId="18" xfId="12" applyNumberFormat="1" applyFont="1" applyFill="1" applyBorder="1" applyAlignment="1" applyProtection="1">
      <alignment horizontal="center" vertical="center"/>
    </xf>
    <xf numFmtId="0" fontId="28" fillId="5" borderId="17" xfId="12" applyNumberFormat="1" applyFont="1" applyFill="1" applyBorder="1" applyAlignment="1" applyProtection="1">
      <alignment horizontal="center" vertical="center"/>
    </xf>
    <xf numFmtId="165" fontId="28" fillId="5" borderId="18" xfId="78" applyNumberFormat="1" applyFont="1" applyFill="1" applyBorder="1" applyAlignment="1" applyProtection="1">
      <alignment horizontal="center" vertical="center"/>
    </xf>
    <xf numFmtId="0" fontId="28" fillId="5" borderId="18" xfId="12" applyNumberFormat="1" applyFont="1" applyFill="1" applyBorder="1" applyAlignment="1" applyProtection="1">
      <alignment horizontal="center" vertical="center"/>
    </xf>
    <xf numFmtId="0" fontId="28" fillId="5" borderId="19" xfId="12" applyNumberFormat="1" applyFont="1" applyFill="1" applyBorder="1" applyAlignment="1" applyProtection="1">
      <alignment horizontal="center" vertical="center"/>
    </xf>
    <xf numFmtId="165" fontId="28" fillId="5" borderId="19" xfId="77" applyNumberFormat="1" applyFont="1" applyFill="1" applyBorder="1" applyAlignment="1" applyProtection="1">
      <alignment horizontal="center" vertical="center"/>
    </xf>
    <xf numFmtId="0" fontId="49" fillId="4" borderId="1" xfId="106" applyNumberFormat="1" applyFont="1" applyFill="1" applyBorder="1" applyAlignment="1" applyProtection="1">
      <alignment wrapText="1"/>
      <protection locked="0"/>
    </xf>
    <xf numFmtId="0" fontId="38" fillId="4" borderId="60" xfId="106" applyNumberFormat="1" applyFont="1" applyFill="1" applyBorder="1" applyAlignment="1" applyProtection="1">
      <alignment horizontal="center" vertical="center"/>
    </xf>
    <xf numFmtId="0" fontId="38" fillId="4" borderId="33" xfId="106" applyNumberFormat="1" applyFont="1" applyFill="1" applyBorder="1" applyAlignment="1" applyProtection="1">
      <alignment horizontal="center" vertical="center"/>
    </xf>
    <xf numFmtId="0" fontId="38" fillId="4" borderId="33" xfId="106" applyNumberFormat="1" applyFont="1" applyFill="1" applyBorder="1" applyAlignment="1" applyProtection="1">
      <alignment horizontal="left" vertical="center" wrapText="1"/>
    </xf>
    <xf numFmtId="0" fontId="38" fillId="4" borderId="33" xfId="106" applyNumberFormat="1" applyFont="1" applyFill="1" applyBorder="1" applyAlignment="1" applyProtection="1">
      <alignment horizontal="left" vertical="center"/>
    </xf>
    <xf numFmtId="0" fontId="38" fillId="4" borderId="33" xfId="106" applyNumberFormat="1" applyFont="1" applyFill="1" applyBorder="1" applyAlignment="1" applyProtection="1">
      <alignment horizontal="right" vertical="center"/>
    </xf>
    <xf numFmtId="3" fontId="38" fillId="4" borderId="33" xfId="106" applyNumberFormat="1" applyFont="1" applyFill="1" applyBorder="1" applyAlignment="1" applyProtection="1">
      <alignment horizontal="right" vertical="center"/>
    </xf>
    <xf numFmtId="3" fontId="38" fillId="4" borderId="61" xfId="106" applyNumberFormat="1" applyFont="1" applyFill="1" applyBorder="1" applyAlignment="1" applyProtection="1">
      <alignment horizontal="right" vertical="center"/>
    </xf>
    <xf numFmtId="3" fontId="49" fillId="4" borderId="1" xfId="106" applyNumberFormat="1" applyFont="1" applyFill="1"/>
    <xf numFmtId="0" fontId="49" fillId="4" borderId="1" xfId="106" applyFont="1"/>
    <xf numFmtId="1" fontId="38" fillId="4" borderId="33" xfId="106" applyNumberFormat="1" applyFont="1" applyFill="1" applyBorder="1" applyAlignment="1" applyProtection="1">
      <alignment horizontal="right" vertical="center"/>
    </xf>
    <xf numFmtId="4" fontId="38" fillId="4" borderId="33" xfId="106" applyNumberFormat="1" applyFont="1" applyFill="1" applyBorder="1" applyAlignment="1" applyProtection="1">
      <alignment horizontal="right" vertical="center"/>
    </xf>
    <xf numFmtId="3" fontId="38" fillId="4" borderId="79" xfId="106" applyNumberFormat="1" applyFont="1" applyFill="1" applyBorder="1" applyAlignment="1" applyProtection="1">
      <alignment horizontal="right" vertical="center"/>
    </xf>
    <xf numFmtId="3" fontId="38" fillId="4" borderId="49" xfId="106" applyNumberFormat="1" applyFont="1" applyFill="1" applyBorder="1" applyAlignment="1" applyProtection="1">
      <alignment horizontal="right" vertical="center"/>
    </xf>
    <xf numFmtId="3" fontId="38" fillId="4" borderId="62" xfId="106" applyNumberFormat="1" applyFont="1" applyFill="1" applyBorder="1" applyAlignment="1" applyProtection="1">
      <alignment horizontal="right" vertical="center"/>
    </xf>
    <xf numFmtId="2" fontId="38" fillId="4" borderId="33" xfId="106" applyNumberFormat="1" applyFont="1" applyFill="1" applyBorder="1" applyAlignment="1" applyProtection="1">
      <alignment horizontal="right" vertical="center"/>
    </xf>
    <xf numFmtId="3" fontId="38" fillId="4" borderId="63" xfId="106" applyNumberFormat="1" applyFont="1" applyFill="1" applyBorder="1" applyAlignment="1" applyProtection="1">
      <alignment horizontal="right" vertical="center"/>
    </xf>
    <xf numFmtId="0" fontId="38" fillId="4" borderId="211" xfId="106" applyNumberFormat="1" applyFont="1" applyFill="1" applyBorder="1" applyAlignment="1" applyProtection="1">
      <alignment horizontal="center" vertical="center"/>
    </xf>
    <xf numFmtId="0" fontId="38" fillId="4" borderId="52" xfId="106" applyNumberFormat="1" applyFont="1" applyFill="1" applyBorder="1" applyAlignment="1" applyProtection="1">
      <alignment horizontal="center" vertical="center"/>
    </xf>
    <xf numFmtId="0" fontId="38" fillId="4" borderId="52" xfId="106" applyNumberFormat="1" applyFont="1" applyFill="1" applyBorder="1" applyAlignment="1" applyProtection="1">
      <alignment horizontal="left" vertical="center" wrapText="1"/>
    </xf>
    <xf numFmtId="0" fontId="38" fillId="4" borderId="52" xfId="106" applyNumberFormat="1" applyFont="1" applyFill="1" applyBorder="1" applyAlignment="1" applyProtection="1">
      <alignment horizontal="left" vertical="center"/>
    </xf>
    <xf numFmtId="0" fontId="38" fillId="4" borderId="52" xfId="106" applyNumberFormat="1" applyFont="1" applyFill="1" applyBorder="1" applyAlignment="1" applyProtection="1">
      <alignment horizontal="right" vertical="center"/>
    </xf>
    <xf numFmtId="3" fontId="38" fillId="4" borderId="52" xfId="106" applyNumberFormat="1" applyFont="1" applyFill="1" applyBorder="1" applyAlignment="1" applyProtection="1">
      <alignment horizontal="right" vertical="center"/>
    </xf>
    <xf numFmtId="0" fontId="38" fillId="4" borderId="72" xfId="106" applyNumberFormat="1" applyFont="1" applyFill="1" applyBorder="1" applyAlignment="1" applyProtection="1">
      <alignment horizontal="center" vertical="center"/>
    </xf>
    <xf numFmtId="0" fontId="38" fillId="4" borderId="73" xfId="106" applyNumberFormat="1" applyFont="1" applyFill="1" applyBorder="1" applyAlignment="1" applyProtection="1">
      <alignment horizontal="center" vertical="center"/>
    </xf>
    <xf numFmtId="0" fontId="38" fillId="4" borderId="73" xfId="106" applyNumberFormat="1" applyFont="1" applyFill="1" applyBorder="1" applyAlignment="1" applyProtection="1">
      <alignment horizontal="left" vertical="center" wrapText="1"/>
    </xf>
    <xf numFmtId="0" fontId="38" fillId="4" borderId="73" xfId="106" applyNumberFormat="1" applyFont="1" applyFill="1" applyBorder="1" applyAlignment="1" applyProtection="1">
      <alignment horizontal="left" vertical="center"/>
    </xf>
    <xf numFmtId="0" fontId="38" fillId="4" borderId="73" xfId="106" applyNumberFormat="1" applyFont="1" applyFill="1" applyBorder="1" applyAlignment="1" applyProtection="1">
      <alignment horizontal="right" vertical="center"/>
    </xf>
    <xf numFmtId="3" fontId="38" fillId="4" borderId="73" xfId="106" applyNumberFormat="1" applyFont="1" applyFill="1" applyBorder="1" applyAlignment="1" applyProtection="1">
      <alignment horizontal="right" vertical="center"/>
    </xf>
    <xf numFmtId="0" fontId="77" fillId="4" borderId="1" xfId="106" applyNumberFormat="1" applyFont="1" applyFill="1" applyBorder="1" applyAlignment="1" applyProtection="1">
      <alignment horizontal="left" vertical="top"/>
    </xf>
    <xf numFmtId="3" fontId="49" fillId="4" borderId="1" xfId="106" applyNumberFormat="1" applyFont="1" applyFill="1" applyBorder="1" applyAlignment="1" applyProtection="1">
      <alignment wrapText="1"/>
      <protection locked="0"/>
    </xf>
    <xf numFmtId="0" fontId="39" fillId="4" borderId="64" xfId="106" applyNumberFormat="1" applyFont="1" applyFill="1" applyBorder="1" applyAlignment="1" applyProtection="1">
      <alignment horizontal="center" vertical="center" wrapText="1"/>
    </xf>
    <xf numFmtId="0" fontId="39" fillId="4" borderId="38" xfId="106" applyNumberFormat="1" applyFont="1" applyFill="1" applyBorder="1" applyAlignment="1" applyProtection="1">
      <alignment horizontal="center" vertical="center" wrapText="1"/>
    </xf>
  </cellXfs>
  <cellStyles count="569">
    <cellStyle name="_ALB content sheet" xfId="141" xr:uid="{00000000-0005-0000-0000-000000000000}"/>
    <cellStyle name="_ALB content sheet 2" xfId="312" xr:uid="{00000000-0005-0000-0000-000001000000}"/>
    <cellStyle name="_ALB content sheet_Projekt_Buxhet_2012" xfId="142" xr:uid="{00000000-0005-0000-0000-000002000000}"/>
    <cellStyle name="_ALB_StructPC tables" xfId="143" xr:uid="{00000000-0005-0000-0000-000003000000}"/>
    <cellStyle name="_Output to team May 12 2008 10pm" xfId="144" xr:uid="{00000000-0005-0000-0000-000004000000}"/>
    <cellStyle name="_PC Table Summary fror Gramoz May 13 2008" xfId="145" xr:uid="{00000000-0005-0000-0000-000005000000}"/>
    <cellStyle name="1 indent" xfId="146" xr:uid="{00000000-0005-0000-0000-000006000000}"/>
    <cellStyle name="2 indents" xfId="147" xr:uid="{00000000-0005-0000-0000-000007000000}"/>
    <cellStyle name="20% - Accent1 2" xfId="148" xr:uid="{00000000-0005-0000-0000-000008000000}"/>
    <cellStyle name="20% - Accent2 2" xfId="149" xr:uid="{00000000-0005-0000-0000-000009000000}"/>
    <cellStyle name="20% - Accent3 2" xfId="150" xr:uid="{00000000-0005-0000-0000-00000A000000}"/>
    <cellStyle name="20% - Accent4 2" xfId="151" xr:uid="{00000000-0005-0000-0000-00000B000000}"/>
    <cellStyle name="20% - Accent5 2" xfId="152" xr:uid="{00000000-0005-0000-0000-00000C000000}"/>
    <cellStyle name="20% - Accent6 2" xfId="153" xr:uid="{00000000-0005-0000-0000-00000D000000}"/>
    <cellStyle name="3 indents" xfId="154" xr:uid="{00000000-0005-0000-0000-00000E000000}"/>
    <cellStyle name="4 indents" xfId="155" xr:uid="{00000000-0005-0000-0000-00000F000000}"/>
    <cellStyle name="40% - Accent1 2" xfId="156" xr:uid="{00000000-0005-0000-0000-000010000000}"/>
    <cellStyle name="40% - Accent2 2" xfId="157" xr:uid="{00000000-0005-0000-0000-000011000000}"/>
    <cellStyle name="40% - Accent3 2" xfId="158" xr:uid="{00000000-0005-0000-0000-000012000000}"/>
    <cellStyle name="40% - Accent4 2" xfId="159" xr:uid="{00000000-0005-0000-0000-000013000000}"/>
    <cellStyle name="40% - Accent5 2" xfId="160" xr:uid="{00000000-0005-0000-0000-000014000000}"/>
    <cellStyle name="40% - Accent6 2" xfId="161" xr:uid="{00000000-0005-0000-0000-000015000000}"/>
    <cellStyle name="5 indents" xfId="162" xr:uid="{00000000-0005-0000-0000-000016000000}"/>
    <cellStyle name="60% - Accent1 2" xfId="163" xr:uid="{00000000-0005-0000-0000-000017000000}"/>
    <cellStyle name="60% - Accent2 2" xfId="164" xr:uid="{00000000-0005-0000-0000-000018000000}"/>
    <cellStyle name="60% - Accent3 2" xfId="165" xr:uid="{00000000-0005-0000-0000-000019000000}"/>
    <cellStyle name="60% - Accent4 2" xfId="166" xr:uid="{00000000-0005-0000-0000-00001A000000}"/>
    <cellStyle name="60% - Accent5 2" xfId="167" xr:uid="{00000000-0005-0000-0000-00001B000000}"/>
    <cellStyle name="60% - Accent6 2" xfId="168" xr:uid="{00000000-0005-0000-0000-00001C000000}"/>
    <cellStyle name="Accent1 2" xfId="169" xr:uid="{00000000-0005-0000-0000-00001D000000}"/>
    <cellStyle name="Accent2 2" xfId="170" xr:uid="{00000000-0005-0000-0000-00001E000000}"/>
    <cellStyle name="Accent3 2" xfId="171" xr:uid="{00000000-0005-0000-0000-00001F000000}"/>
    <cellStyle name="Accent4 2" xfId="172" xr:uid="{00000000-0005-0000-0000-000020000000}"/>
    <cellStyle name="Accent5 2" xfId="173" xr:uid="{00000000-0005-0000-0000-000021000000}"/>
    <cellStyle name="Accent6 2" xfId="174" xr:uid="{00000000-0005-0000-0000-000022000000}"/>
    <cellStyle name="Bad 2" xfId="175" xr:uid="{00000000-0005-0000-0000-000023000000}"/>
    <cellStyle name="Bad 3" xfId="562" xr:uid="{00000000-0005-0000-0000-000024000000}"/>
    <cellStyle name="BoA" xfId="176" xr:uid="{00000000-0005-0000-0000-000025000000}"/>
    <cellStyle name="BoA 2" xfId="313" xr:uid="{00000000-0005-0000-0000-000026000000}"/>
    <cellStyle name="Calculation 2" xfId="177" xr:uid="{00000000-0005-0000-0000-000027000000}"/>
    <cellStyle name="Celkem" xfId="178" xr:uid="{00000000-0005-0000-0000-000028000000}"/>
    <cellStyle name="Check Cell 2" xfId="179" xr:uid="{00000000-0005-0000-0000-000029000000}"/>
    <cellStyle name="Comma" xfId="78" builtinId="3"/>
    <cellStyle name="Comma  - Style1" xfId="180" xr:uid="{00000000-0005-0000-0000-00002B000000}"/>
    <cellStyle name="Comma  - Style1 2" xfId="314" xr:uid="{00000000-0005-0000-0000-00002C000000}"/>
    <cellStyle name="Comma  - Style1 3" xfId="315" xr:uid="{00000000-0005-0000-0000-00002D000000}"/>
    <cellStyle name="Comma [0] 2 2" xfId="124" xr:uid="{00000000-0005-0000-0000-00002E000000}"/>
    <cellStyle name="Comma 10" xfId="77" xr:uid="{00000000-0005-0000-0000-00002F000000}"/>
    <cellStyle name="Comma 100" xfId="478" xr:uid="{00000000-0005-0000-0000-000030000000}"/>
    <cellStyle name="Comma 101" xfId="479" xr:uid="{00000000-0005-0000-0000-000031000000}"/>
    <cellStyle name="Comma 102" xfId="509" xr:uid="{00000000-0005-0000-0000-000032000000}"/>
    <cellStyle name="Comma 103" xfId="508" xr:uid="{00000000-0005-0000-0000-000033000000}"/>
    <cellStyle name="Comma 104" xfId="517" xr:uid="{00000000-0005-0000-0000-000034000000}"/>
    <cellStyle name="Comma 105" xfId="512" xr:uid="{00000000-0005-0000-0000-000035000000}"/>
    <cellStyle name="Comma 106" xfId="494" xr:uid="{00000000-0005-0000-0000-000036000000}"/>
    <cellStyle name="Comma 107" xfId="120" xr:uid="{00000000-0005-0000-0000-000037000000}"/>
    <cellStyle name="Comma 108" xfId="522" xr:uid="{00000000-0005-0000-0000-000038000000}"/>
    <cellStyle name="Comma 109" xfId="525" xr:uid="{00000000-0005-0000-0000-000039000000}"/>
    <cellStyle name="Comma 11" xfId="316" xr:uid="{00000000-0005-0000-0000-00003A000000}"/>
    <cellStyle name="Comma 110" xfId="528" xr:uid="{00000000-0005-0000-0000-00003B000000}"/>
    <cellStyle name="Comma 111" xfId="531" xr:uid="{00000000-0005-0000-0000-00003C000000}"/>
    <cellStyle name="Comma 112" xfId="533" xr:uid="{00000000-0005-0000-0000-00003D000000}"/>
    <cellStyle name="Comma 113" xfId="538" xr:uid="{00000000-0005-0000-0000-00003E000000}"/>
    <cellStyle name="Comma 114" xfId="535" xr:uid="{00000000-0005-0000-0000-00003F000000}"/>
    <cellStyle name="Comma 115" xfId="540" xr:uid="{00000000-0005-0000-0000-000040000000}"/>
    <cellStyle name="Comma 116" xfId="542" xr:uid="{00000000-0005-0000-0000-000041000000}"/>
    <cellStyle name="Comma 117" xfId="544" xr:uid="{00000000-0005-0000-0000-000042000000}"/>
    <cellStyle name="Comma 118" xfId="546" xr:uid="{00000000-0005-0000-0000-000043000000}"/>
    <cellStyle name="Comma 119" xfId="548" xr:uid="{00000000-0005-0000-0000-000044000000}"/>
    <cellStyle name="Comma 12" xfId="317" xr:uid="{00000000-0005-0000-0000-000045000000}"/>
    <cellStyle name="Comma 120" xfId="550" xr:uid="{00000000-0005-0000-0000-000046000000}"/>
    <cellStyle name="Comma 121" xfId="552" xr:uid="{00000000-0005-0000-0000-000047000000}"/>
    <cellStyle name="Comma 122" xfId="554" xr:uid="{00000000-0005-0000-0000-000048000000}"/>
    <cellStyle name="Comma 123" xfId="556" xr:uid="{00000000-0005-0000-0000-000049000000}"/>
    <cellStyle name="Comma 124" xfId="558" xr:uid="{00000000-0005-0000-0000-00004A000000}"/>
    <cellStyle name="Comma 125" xfId="560" xr:uid="{00000000-0005-0000-0000-00004B000000}"/>
    <cellStyle name="Comma 126" xfId="566" xr:uid="{00000000-0005-0000-0000-00004C000000}"/>
    <cellStyle name="Comma 127" xfId="568" xr:uid="{00000000-0005-0000-0000-00004D000000}"/>
    <cellStyle name="Comma 13" xfId="318" xr:uid="{00000000-0005-0000-0000-00004E000000}"/>
    <cellStyle name="Comma 14" xfId="319" xr:uid="{00000000-0005-0000-0000-00004F000000}"/>
    <cellStyle name="Comma 15" xfId="320" xr:uid="{00000000-0005-0000-0000-000050000000}"/>
    <cellStyle name="Comma 16" xfId="321" xr:uid="{00000000-0005-0000-0000-000051000000}"/>
    <cellStyle name="Comma 17" xfId="322" xr:uid="{00000000-0005-0000-0000-000052000000}"/>
    <cellStyle name="Comma 18" xfId="323" xr:uid="{00000000-0005-0000-0000-000053000000}"/>
    <cellStyle name="Comma 18 2" xfId="324" xr:uid="{00000000-0005-0000-0000-000054000000}"/>
    <cellStyle name="Comma 19" xfId="325" xr:uid="{00000000-0005-0000-0000-000055000000}"/>
    <cellStyle name="Comma 2" xfId="63" xr:uid="{00000000-0005-0000-0000-000056000000}"/>
    <cellStyle name="Comma 2 2" xfId="96" xr:uid="{00000000-0005-0000-0000-000057000000}"/>
    <cellStyle name="Comma 2 2 2" xfId="140" xr:uid="{00000000-0005-0000-0000-000058000000}"/>
    <cellStyle name="Comma 2 3" xfId="181" xr:uid="{00000000-0005-0000-0000-000059000000}"/>
    <cellStyle name="Comma 2 3 2" xfId="421" xr:uid="{00000000-0005-0000-0000-00005A000000}"/>
    <cellStyle name="Comma 2 3 3" xfId="422" xr:uid="{00000000-0005-0000-0000-00005B000000}"/>
    <cellStyle name="Comma 2 4" xfId="182" xr:uid="{00000000-0005-0000-0000-00005C000000}"/>
    <cellStyle name="Comma 2 5" xfId="129" xr:uid="{00000000-0005-0000-0000-00005D000000}"/>
    <cellStyle name="Comma 20" xfId="326" xr:uid="{00000000-0005-0000-0000-00005E000000}"/>
    <cellStyle name="Comma 21" xfId="327" xr:uid="{00000000-0005-0000-0000-00005F000000}"/>
    <cellStyle name="Comma 22" xfId="328" xr:uid="{00000000-0005-0000-0000-000060000000}"/>
    <cellStyle name="Comma 23" xfId="329" xr:uid="{00000000-0005-0000-0000-000061000000}"/>
    <cellStyle name="Comma 24" xfId="330" xr:uid="{00000000-0005-0000-0000-000062000000}"/>
    <cellStyle name="Comma 25" xfId="392" xr:uid="{00000000-0005-0000-0000-000063000000}"/>
    <cellStyle name="Comma 26" xfId="393" xr:uid="{00000000-0005-0000-0000-000064000000}"/>
    <cellStyle name="Comma 27" xfId="394" xr:uid="{00000000-0005-0000-0000-000065000000}"/>
    <cellStyle name="Comma 28" xfId="395" xr:uid="{00000000-0005-0000-0000-000066000000}"/>
    <cellStyle name="Comma 29" xfId="396" xr:uid="{00000000-0005-0000-0000-000067000000}"/>
    <cellStyle name="Comma 3" xfId="125" xr:uid="{00000000-0005-0000-0000-000068000000}"/>
    <cellStyle name="Comma 3 2" xfId="136" xr:uid="{00000000-0005-0000-0000-000069000000}"/>
    <cellStyle name="Comma 3 3" xfId="331" xr:uid="{00000000-0005-0000-0000-00006A000000}"/>
    <cellStyle name="Comma 3 4" xfId="130" xr:uid="{00000000-0005-0000-0000-00006B000000}"/>
    <cellStyle name="Comma 30" xfId="397" xr:uid="{00000000-0005-0000-0000-00006C000000}"/>
    <cellStyle name="Comma 31" xfId="398" xr:uid="{00000000-0005-0000-0000-00006D000000}"/>
    <cellStyle name="Comma 32" xfId="399" xr:uid="{00000000-0005-0000-0000-00006E000000}"/>
    <cellStyle name="Comma 33" xfId="400" xr:uid="{00000000-0005-0000-0000-00006F000000}"/>
    <cellStyle name="Comma 34" xfId="401" xr:uid="{00000000-0005-0000-0000-000070000000}"/>
    <cellStyle name="Comma 35" xfId="402" xr:uid="{00000000-0005-0000-0000-000071000000}"/>
    <cellStyle name="Comma 36" xfId="403" xr:uid="{00000000-0005-0000-0000-000072000000}"/>
    <cellStyle name="Comma 37" xfId="404" xr:uid="{00000000-0005-0000-0000-000073000000}"/>
    <cellStyle name="Comma 38" xfId="405" xr:uid="{00000000-0005-0000-0000-000074000000}"/>
    <cellStyle name="Comma 39" xfId="406" xr:uid="{00000000-0005-0000-0000-000075000000}"/>
    <cellStyle name="Comma 4" xfId="126" xr:uid="{00000000-0005-0000-0000-000076000000}"/>
    <cellStyle name="Comma 4 2" xfId="423" xr:uid="{00000000-0005-0000-0000-000077000000}"/>
    <cellStyle name="Comma 4 3" xfId="424" xr:uid="{00000000-0005-0000-0000-000078000000}"/>
    <cellStyle name="Comma 4 4" xfId="183" xr:uid="{00000000-0005-0000-0000-000079000000}"/>
    <cellStyle name="Comma 40" xfId="407" xr:uid="{00000000-0005-0000-0000-00007A000000}"/>
    <cellStyle name="Comma 41" xfId="408" xr:uid="{00000000-0005-0000-0000-00007B000000}"/>
    <cellStyle name="Comma 42" xfId="409" xr:uid="{00000000-0005-0000-0000-00007C000000}"/>
    <cellStyle name="Comma 43" xfId="410" xr:uid="{00000000-0005-0000-0000-00007D000000}"/>
    <cellStyle name="Comma 44" xfId="411" xr:uid="{00000000-0005-0000-0000-00007E000000}"/>
    <cellStyle name="Comma 45" xfId="412" xr:uid="{00000000-0005-0000-0000-00007F000000}"/>
    <cellStyle name="Comma 46" xfId="413" xr:uid="{00000000-0005-0000-0000-000080000000}"/>
    <cellStyle name="Comma 47" xfId="414" xr:uid="{00000000-0005-0000-0000-000081000000}"/>
    <cellStyle name="Comma 48" xfId="415" xr:uid="{00000000-0005-0000-0000-000082000000}"/>
    <cellStyle name="Comma 49" xfId="416" xr:uid="{00000000-0005-0000-0000-000083000000}"/>
    <cellStyle name="Comma 5" xfId="127" xr:uid="{00000000-0005-0000-0000-000084000000}"/>
    <cellStyle name="Comma 5 2" xfId="184" xr:uid="{00000000-0005-0000-0000-000085000000}"/>
    <cellStyle name="Comma 50" xfId="417" xr:uid="{00000000-0005-0000-0000-000086000000}"/>
    <cellStyle name="Comma 51" xfId="418" xr:uid="{00000000-0005-0000-0000-000087000000}"/>
    <cellStyle name="Comma 52" xfId="419" xr:uid="{00000000-0005-0000-0000-000088000000}"/>
    <cellStyle name="Comma 53" xfId="427" xr:uid="{00000000-0005-0000-0000-000089000000}"/>
    <cellStyle name="Comma 53 2" xfId="435" xr:uid="{00000000-0005-0000-0000-00008A000000}"/>
    <cellStyle name="Comma 54" xfId="430" xr:uid="{00000000-0005-0000-0000-00008B000000}"/>
    <cellStyle name="Comma 54 2" xfId="436" xr:uid="{00000000-0005-0000-0000-00008C000000}"/>
    <cellStyle name="Comma 55" xfId="431" xr:uid="{00000000-0005-0000-0000-00008D000000}"/>
    <cellStyle name="Comma 55 2" xfId="437" xr:uid="{00000000-0005-0000-0000-00008E000000}"/>
    <cellStyle name="Comma 56" xfId="432" xr:uid="{00000000-0005-0000-0000-00008F000000}"/>
    <cellStyle name="Comma 57" xfId="433" xr:uid="{00000000-0005-0000-0000-000090000000}"/>
    <cellStyle name="Comma 58" xfId="464" xr:uid="{00000000-0005-0000-0000-000091000000}"/>
    <cellStyle name="Comma 59" xfId="97" xr:uid="{00000000-0005-0000-0000-000092000000}"/>
    <cellStyle name="Comma 6" xfId="128" xr:uid="{00000000-0005-0000-0000-000093000000}"/>
    <cellStyle name="Comma 6 2" xfId="185" xr:uid="{00000000-0005-0000-0000-000094000000}"/>
    <cellStyle name="Comma 60" xfId="467" xr:uid="{00000000-0005-0000-0000-000095000000}"/>
    <cellStyle name="Comma 61" xfId="438" xr:uid="{00000000-0005-0000-0000-000096000000}"/>
    <cellStyle name="Comma 62" xfId="452" xr:uid="{00000000-0005-0000-0000-000097000000}"/>
    <cellStyle name="Comma 63" xfId="458" xr:uid="{00000000-0005-0000-0000-000098000000}"/>
    <cellStyle name="Comma 64" xfId="451" xr:uid="{00000000-0005-0000-0000-000099000000}"/>
    <cellStyle name="Comma 65" xfId="459" xr:uid="{00000000-0005-0000-0000-00009A000000}"/>
    <cellStyle name="Comma 66" xfId="447" xr:uid="{00000000-0005-0000-0000-00009B000000}"/>
    <cellStyle name="Comma 67" xfId="463" xr:uid="{00000000-0005-0000-0000-00009C000000}"/>
    <cellStyle name="Comma 68" xfId="444" xr:uid="{00000000-0005-0000-0000-00009D000000}"/>
    <cellStyle name="Comma 69" xfId="442" xr:uid="{00000000-0005-0000-0000-00009E000000}"/>
    <cellStyle name="Comma 7" xfId="186" xr:uid="{00000000-0005-0000-0000-00009F000000}"/>
    <cellStyle name="Comma 70" xfId="441" xr:uid="{00000000-0005-0000-0000-0000A0000000}"/>
    <cellStyle name="Comma 71" xfId="446" xr:uid="{00000000-0005-0000-0000-0000A1000000}"/>
    <cellStyle name="Comma 72" xfId="457" xr:uid="{00000000-0005-0000-0000-0000A2000000}"/>
    <cellStyle name="Comma 73" xfId="454" xr:uid="{00000000-0005-0000-0000-0000A3000000}"/>
    <cellStyle name="Comma 74" xfId="455" xr:uid="{00000000-0005-0000-0000-0000A4000000}"/>
    <cellStyle name="Comma 75" xfId="450" xr:uid="{00000000-0005-0000-0000-0000A5000000}"/>
    <cellStyle name="Comma 76" xfId="439" xr:uid="{00000000-0005-0000-0000-0000A6000000}"/>
    <cellStyle name="Comma 77" xfId="453" xr:uid="{00000000-0005-0000-0000-0000A7000000}"/>
    <cellStyle name="Comma 78" xfId="440" xr:uid="{00000000-0005-0000-0000-0000A8000000}"/>
    <cellStyle name="Comma 79" xfId="469" xr:uid="{00000000-0005-0000-0000-0000A9000000}"/>
    <cellStyle name="Comma 8" xfId="332" xr:uid="{00000000-0005-0000-0000-0000AA000000}"/>
    <cellStyle name="Comma 8 2" xfId="333" xr:uid="{00000000-0005-0000-0000-0000AB000000}"/>
    <cellStyle name="Comma 8 3" xfId="334" xr:uid="{00000000-0005-0000-0000-0000AC000000}"/>
    <cellStyle name="Comma 80" xfId="486" xr:uid="{00000000-0005-0000-0000-0000AD000000}"/>
    <cellStyle name="Comma 81" xfId="471" xr:uid="{00000000-0005-0000-0000-0000AE000000}"/>
    <cellStyle name="Comma 82" xfId="484" xr:uid="{00000000-0005-0000-0000-0000AF000000}"/>
    <cellStyle name="Comma 83" xfId="489" xr:uid="{00000000-0005-0000-0000-0000B0000000}"/>
    <cellStyle name="Comma 84" xfId="491" xr:uid="{00000000-0005-0000-0000-0000B1000000}"/>
    <cellStyle name="Comma 85" xfId="495" xr:uid="{00000000-0005-0000-0000-0000B2000000}"/>
    <cellStyle name="Comma 86" xfId="483" xr:uid="{00000000-0005-0000-0000-0000B3000000}"/>
    <cellStyle name="Comma 87" xfId="474" xr:uid="{00000000-0005-0000-0000-0000B4000000}"/>
    <cellStyle name="Comma 88" xfId="501" xr:uid="{00000000-0005-0000-0000-0000B5000000}"/>
    <cellStyle name="Comma 89" xfId="100" xr:uid="{00000000-0005-0000-0000-0000B6000000}"/>
    <cellStyle name="Comma 9" xfId="335" xr:uid="{00000000-0005-0000-0000-0000B7000000}"/>
    <cellStyle name="Comma 90" xfId="499" xr:uid="{00000000-0005-0000-0000-0000B8000000}"/>
    <cellStyle name="Comma 91" xfId="493" xr:uid="{00000000-0005-0000-0000-0000B9000000}"/>
    <cellStyle name="Comma 92" xfId="490" xr:uid="{00000000-0005-0000-0000-0000BA000000}"/>
    <cellStyle name="Comma 93" xfId="511" xr:uid="{00000000-0005-0000-0000-0000BB000000}"/>
    <cellStyle name="Comma 94" xfId="507" xr:uid="{00000000-0005-0000-0000-0000BC000000}"/>
    <cellStyle name="Comma 95" xfId="492" xr:uid="{00000000-0005-0000-0000-0000BD000000}"/>
    <cellStyle name="Comma 96" xfId="497" xr:uid="{00000000-0005-0000-0000-0000BE000000}"/>
    <cellStyle name="Comma 97" xfId="514" xr:uid="{00000000-0005-0000-0000-0000BF000000}"/>
    <cellStyle name="Comma 98" xfId="513" xr:uid="{00000000-0005-0000-0000-0000C0000000}"/>
    <cellStyle name="Comma 99" xfId="505" xr:uid="{00000000-0005-0000-0000-0000C1000000}"/>
    <cellStyle name="Comma(3)" xfId="187" xr:uid="{00000000-0005-0000-0000-0000C2000000}"/>
    <cellStyle name="Comma(3) 2" xfId="336" xr:uid="{00000000-0005-0000-0000-0000C3000000}"/>
    <cellStyle name="Comma(3) 3" xfId="337" xr:uid="{00000000-0005-0000-0000-0000C4000000}"/>
    <cellStyle name="Comma0" xfId="188" xr:uid="{00000000-0005-0000-0000-0000C5000000}"/>
    <cellStyle name="Curren - Style3" xfId="189" xr:uid="{00000000-0005-0000-0000-0000C6000000}"/>
    <cellStyle name="Curren - Style3 2" xfId="338" xr:uid="{00000000-0005-0000-0000-0000C7000000}"/>
    <cellStyle name="Curren - Style3 3" xfId="339" xr:uid="{00000000-0005-0000-0000-0000C8000000}"/>
    <cellStyle name="Curren - Style4" xfId="190" xr:uid="{00000000-0005-0000-0000-0000C9000000}"/>
    <cellStyle name="Curren - Style4 2" xfId="340" xr:uid="{00000000-0005-0000-0000-0000CA000000}"/>
    <cellStyle name="Curren - Style4 3" xfId="341" xr:uid="{00000000-0005-0000-0000-0000CB000000}"/>
    <cellStyle name="Currency0" xfId="191" xr:uid="{00000000-0005-0000-0000-0000CC000000}"/>
    <cellStyle name="Date" xfId="192" xr:uid="{00000000-0005-0000-0000-0000CD000000}"/>
    <cellStyle name="Datum" xfId="193" xr:uid="{00000000-0005-0000-0000-0000CE000000}"/>
    <cellStyle name="Defl/Infl" xfId="194" xr:uid="{00000000-0005-0000-0000-0000CF000000}"/>
    <cellStyle name="Defl/Infl 2" xfId="342" xr:uid="{00000000-0005-0000-0000-0000D0000000}"/>
    <cellStyle name="Euro" xfId="195" xr:uid="{00000000-0005-0000-0000-0000D1000000}"/>
    <cellStyle name="Euro 2" xfId="343" xr:uid="{00000000-0005-0000-0000-0000D2000000}"/>
    <cellStyle name="Exogenous" xfId="196" xr:uid="{00000000-0005-0000-0000-0000D3000000}"/>
    <cellStyle name="Exogenous 2" xfId="344" xr:uid="{00000000-0005-0000-0000-0000D4000000}"/>
    <cellStyle name="Explanatory Text 2" xfId="197" xr:uid="{00000000-0005-0000-0000-0000D5000000}"/>
    <cellStyle name="Finanční0" xfId="198" xr:uid="{00000000-0005-0000-0000-0000D6000000}"/>
    <cellStyle name="Finanèní0" xfId="199" xr:uid="{00000000-0005-0000-0000-0000D7000000}"/>
    <cellStyle name="Fixed" xfId="200" xr:uid="{00000000-0005-0000-0000-0000D8000000}"/>
    <cellStyle name="Good 2" xfId="201" xr:uid="{00000000-0005-0000-0000-0000D9000000}"/>
    <cellStyle name="Grey" xfId="202" xr:uid="{00000000-0005-0000-0000-0000DA000000}"/>
    <cellStyle name="Grey 2" xfId="345" xr:uid="{00000000-0005-0000-0000-0000DB000000}"/>
    <cellStyle name="Grey 3" xfId="346" xr:uid="{00000000-0005-0000-0000-0000DC000000}"/>
    <cellStyle name="Heading 1 2" xfId="203" xr:uid="{00000000-0005-0000-0000-0000DD000000}"/>
    <cellStyle name="Heading 2 2" xfId="204" xr:uid="{00000000-0005-0000-0000-0000DE000000}"/>
    <cellStyle name="Heading 3 2" xfId="205" xr:uid="{00000000-0005-0000-0000-0000DF000000}"/>
    <cellStyle name="Heading 4 2" xfId="206" xr:uid="{00000000-0005-0000-0000-0000E0000000}"/>
    <cellStyle name="Hipervínculo_IIF" xfId="207" xr:uid="{00000000-0005-0000-0000-0000E1000000}"/>
    <cellStyle name="IMF" xfId="208" xr:uid="{00000000-0005-0000-0000-0000E2000000}"/>
    <cellStyle name="IMF 2" xfId="347" xr:uid="{00000000-0005-0000-0000-0000E3000000}"/>
    <cellStyle name="imf-one decimal" xfId="209" xr:uid="{00000000-0005-0000-0000-0000E4000000}"/>
    <cellStyle name="imf-zero decimal" xfId="210" xr:uid="{00000000-0005-0000-0000-0000E5000000}"/>
    <cellStyle name="Input [yellow]" xfId="211" xr:uid="{00000000-0005-0000-0000-0000E6000000}"/>
    <cellStyle name="Input [yellow] 2" xfId="348" xr:uid="{00000000-0005-0000-0000-0000E7000000}"/>
    <cellStyle name="Input [yellow] 3" xfId="349" xr:uid="{00000000-0005-0000-0000-0000E8000000}"/>
    <cellStyle name="Input 2" xfId="212" xr:uid="{00000000-0005-0000-0000-0000E9000000}"/>
    <cellStyle name="Input 3" xfId="213" xr:uid="{00000000-0005-0000-0000-0000EA000000}"/>
    <cellStyle name="Input 4" xfId="350" xr:uid="{00000000-0005-0000-0000-0000EB000000}"/>
    <cellStyle name="INSTAT" xfId="214" xr:uid="{00000000-0005-0000-0000-0000EC000000}"/>
    <cellStyle name="INSTAT 2" xfId="351" xr:uid="{00000000-0005-0000-0000-0000ED000000}"/>
    <cellStyle name="Label" xfId="215" xr:uid="{00000000-0005-0000-0000-0000EE000000}"/>
    <cellStyle name="Linked Cell 2" xfId="216" xr:uid="{00000000-0005-0000-0000-0000EF000000}"/>
    <cellStyle name="Měna0" xfId="217" xr:uid="{00000000-0005-0000-0000-0000F0000000}"/>
    <cellStyle name="Millares [0]_BALPROGRAMA2001R" xfId="218" xr:uid="{00000000-0005-0000-0000-0000F1000000}"/>
    <cellStyle name="Millares_BALPROGRAMA2001R" xfId="219" xr:uid="{00000000-0005-0000-0000-0000F2000000}"/>
    <cellStyle name="Milliers [0]_Encours - Apr rééch" xfId="220" xr:uid="{00000000-0005-0000-0000-0000F3000000}"/>
    <cellStyle name="Milliers_Encours - Apr rééch" xfId="221" xr:uid="{00000000-0005-0000-0000-0000F4000000}"/>
    <cellStyle name="Mìna0" xfId="222" xr:uid="{00000000-0005-0000-0000-0000F5000000}"/>
    <cellStyle name="Model" xfId="223" xr:uid="{00000000-0005-0000-0000-0000F6000000}"/>
    <cellStyle name="Model 2" xfId="352" xr:uid="{00000000-0005-0000-0000-0000F7000000}"/>
    <cellStyle name="MoF" xfId="224" xr:uid="{00000000-0005-0000-0000-0000F8000000}"/>
    <cellStyle name="MoF 2" xfId="353" xr:uid="{00000000-0005-0000-0000-0000F9000000}"/>
    <cellStyle name="Moneda [0]_BALPROGRAMA2001R" xfId="225" xr:uid="{00000000-0005-0000-0000-0000FA000000}"/>
    <cellStyle name="Moneda_BALPROGRAMA2001R" xfId="226" xr:uid="{00000000-0005-0000-0000-0000FB000000}"/>
    <cellStyle name="Monétaire [0]_Encours - Apr rééch" xfId="227" xr:uid="{00000000-0005-0000-0000-0000FC000000}"/>
    <cellStyle name="Monétaire_Encours - Apr rééch" xfId="228" xr:uid="{00000000-0005-0000-0000-0000FD000000}"/>
    <cellStyle name="Neutral 2" xfId="229" xr:uid="{00000000-0005-0000-0000-0000FE000000}"/>
    <cellStyle name="Neutral 3" xfId="563" xr:uid="{00000000-0005-0000-0000-0000FF000000}"/>
    <cellStyle name="Normal" xfId="0" builtinId="0"/>
    <cellStyle name="Normal - Style1" xfId="230" xr:uid="{00000000-0005-0000-0000-000001010000}"/>
    <cellStyle name="Normal - Style2" xfId="231" xr:uid="{00000000-0005-0000-0000-000002010000}"/>
    <cellStyle name="Normal - Style5" xfId="232" xr:uid="{00000000-0005-0000-0000-000003010000}"/>
    <cellStyle name="Normal - Style5 2" xfId="354" xr:uid="{00000000-0005-0000-0000-000004010000}"/>
    <cellStyle name="Normal - Style5 3" xfId="355" xr:uid="{00000000-0005-0000-0000-000005010000}"/>
    <cellStyle name="Normal - Style6" xfId="233" xr:uid="{00000000-0005-0000-0000-000006010000}"/>
    <cellStyle name="Normal - Style6 2" xfId="356" xr:uid="{00000000-0005-0000-0000-000007010000}"/>
    <cellStyle name="Normal - Style6 3" xfId="357" xr:uid="{00000000-0005-0000-0000-000008010000}"/>
    <cellStyle name="Normal - Style7" xfId="234" xr:uid="{00000000-0005-0000-0000-000009010000}"/>
    <cellStyle name="Normal - Style7 2" xfId="358" xr:uid="{00000000-0005-0000-0000-00000A010000}"/>
    <cellStyle name="Normal - Style7 3" xfId="359" xr:uid="{00000000-0005-0000-0000-00000B010000}"/>
    <cellStyle name="Normal - Style8" xfId="235" xr:uid="{00000000-0005-0000-0000-00000C010000}"/>
    <cellStyle name="Normal - Style8 2" xfId="360" xr:uid="{00000000-0005-0000-0000-00000D010000}"/>
    <cellStyle name="Normal - Style8 3" xfId="361" xr:uid="{00000000-0005-0000-0000-00000E010000}"/>
    <cellStyle name="Normal 10" xfId="10" xr:uid="{00000000-0005-0000-0000-00000F010000}"/>
    <cellStyle name="Normal 10 2" xfId="425" xr:uid="{00000000-0005-0000-0000-000010010000}"/>
    <cellStyle name="Normal 10 3" xfId="122" xr:uid="{00000000-0005-0000-0000-000011010000}"/>
    <cellStyle name="Normal 100" xfId="116" xr:uid="{00000000-0005-0000-0000-000012010000}"/>
    <cellStyle name="Normal 101" xfId="117" xr:uid="{00000000-0005-0000-0000-000013010000}"/>
    <cellStyle name="Normal 102" xfId="443" xr:uid="{00000000-0005-0000-0000-000014010000}"/>
    <cellStyle name="Normal 103" xfId="460" xr:uid="{00000000-0005-0000-0000-000015010000}"/>
    <cellStyle name="Normal 104" xfId="461" xr:uid="{00000000-0005-0000-0000-000016010000}"/>
    <cellStyle name="Normal 105" xfId="445" xr:uid="{00000000-0005-0000-0000-000017010000}"/>
    <cellStyle name="Normal 106" xfId="448" xr:uid="{00000000-0005-0000-0000-000018010000}"/>
    <cellStyle name="Normal 107" xfId="456" xr:uid="{00000000-0005-0000-0000-000019010000}"/>
    <cellStyle name="Normal 108" xfId="468" xr:uid="{00000000-0005-0000-0000-00001A010000}"/>
    <cellStyle name="Normal 109" xfId="487" xr:uid="{00000000-0005-0000-0000-00001B010000}"/>
    <cellStyle name="Normal 11" xfId="11" xr:uid="{00000000-0005-0000-0000-00001C010000}"/>
    <cellStyle name="Normal 11 2" xfId="236" xr:uid="{00000000-0005-0000-0000-00001D010000}"/>
    <cellStyle name="Normal 110" xfId="470" xr:uid="{00000000-0005-0000-0000-00001E010000}"/>
    <cellStyle name="Normal 111" xfId="485" xr:uid="{00000000-0005-0000-0000-00001F010000}"/>
    <cellStyle name="Normal 112" xfId="475" xr:uid="{00000000-0005-0000-0000-000020010000}"/>
    <cellStyle name="Normal 113" xfId="477" xr:uid="{00000000-0005-0000-0000-000021010000}"/>
    <cellStyle name="Normal 114" xfId="480" xr:uid="{00000000-0005-0000-0000-000022010000}"/>
    <cellStyle name="Normal 115" xfId="481" xr:uid="{00000000-0005-0000-0000-000023010000}"/>
    <cellStyle name="Normal 116" xfId="73" xr:uid="{00000000-0005-0000-0000-000024010000}"/>
    <cellStyle name="Normal 117" xfId="482" xr:uid="{00000000-0005-0000-0000-000025010000}"/>
    <cellStyle name="Normal 118" xfId="502" xr:uid="{00000000-0005-0000-0000-000026010000}"/>
    <cellStyle name="Normal 119" xfId="99" xr:uid="{00000000-0005-0000-0000-000027010000}"/>
    <cellStyle name="Normal 12" xfId="12" xr:uid="{00000000-0005-0000-0000-000028010000}"/>
    <cellStyle name="Normal 120" xfId="500" xr:uid="{00000000-0005-0000-0000-000029010000}"/>
    <cellStyle name="Normal 121" xfId="98" xr:uid="{00000000-0005-0000-0000-00002A010000}"/>
    <cellStyle name="Normal 122" xfId="488" xr:uid="{00000000-0005-0000-0000-00002B010000}"/>
    <cellStyle name="Normal 123" xfId="101" xr:uid="{00000000-0005-0000-0000-00002C010000}"/>
    <cellStyle name="Normal 124" xfId="498" xr:uid="{00000000-0005-0000-0000-00002D010000}"/>
    <cellStyle name="Normal 125" xfId="472" xr:uid="{00000000-0005-0000-0000-00002E010000}"/>
    <cellStyle name="Normal 126" xfId="503" xr:uid="{00000000-0005-0000-0000-00002F010000}"/>
    <cellStyle name="Normal 127" xfId="506" xr:uid="{00000000-0005-0000-0000-000030010000}"/>
    <cellStyle name="Normal 128" xfId="519" xr:uid="{00000000-0005-0000-0000-000031010000}"/>
    <cellStyle name="Normal 129" xfId="496" xr:uid="{00000000-0005-0000-0000-000032010000}"/>
    <cellStyle name="Normal 13" xfId="13" xr:uid="{00000000-0005-0000-0000-000033010000}"/>
    <cellStyle name="Normal 130" xfId="476" xr:uid="{00000000-0005-0000-0000-000034010000}"/>
    <cellStyle name="Normal 131" xfId="516" xr:uid="{00000000-0005-0000-0000-000035010000}"/>
    <cellStyle name="Normal 132" xfId="515" xr:uid="{00000000-0005-0000-0000-000036010000}"/>
    <cellStyle name="Normal 133" xfId="504" xr:uid="{00000000-0005-0000-0000-000037010000}"/>
    <cellStyle name="Normal 134" xfId="473" xr:uid="{00000000-0005-0000-0000-000038010000}"/>
    <cellStyle name="Normal 135" xfId="518" xr:uid="{00000000-0005-0000-0000-000039010000}"/>
    <cellStyle name="Normal 136" xfId="520" xr:uid="{00000000-0005-0000-0000-00003A010000}"/>
    <cellStyle name="Normal 137" xfId="119" xr:uid="{00000000-0005-0000-0000-00003B010000}"/>
    <cellStyle name="Normal 138" xfId="521" xr:uid="{00000000-0005-0000-0000-00003C010000}"/>
    <cellStyle name="Normal 139" xfId="526" xr:uid="{00000000-0005-0000-0000-00003D010000}"/>
    <cellStyle name="Normal 14" xfId="14" xr:uid="{00000000-0005-0000-0000-00003E010000}"/>
    <cellStyle name="Normal 140" xfId="527" xr:uid="{00000000-0005-0000-0000-00003F010000}"/>
    <cellStyle name="Normal 141" xfId="118" xr:uid="{00000000-0005-0000-0000-000040010000}"/>
    <cellStyle name="Normal 142" xfId="530" xr:uid="{00000000-0005-0000-0000-000041010000}"/>
    <cellStyle name="Normal 143" xfId="532" xr:uid="{00000000-0005-0000-0000-000042010000}"/>
    <cellStyle name="Normal 144" xfId="537" xr:uid="{00000000-0005-0000-0000-000043010000}"/>
    <cellStyle name="Normal 145" xfId="539" xr:uid="{00000000-0005-0000-0000-000044010000}"/>
    <cellStyle name="Normal 146" xfId="541" xr:uid="{00000000-0005-0000-0000-000045010000}"/>
    <cellStyle name="Normal 147" xfId="543" xr:uid="{00000000-0005-0000-0000-000046010000}"/>
    <cellStyle name="Normal 148" xfId="545" xr:uid="{00000000-0005-0000-0000-000047010000}"/>
    <cellStyle name="Normal 149" xfId="534" xr:uid="{00000000-0005-0000-0000-000048010000}"/>
    <cellStyle name="Normal 15" xfId="15" xr:uid="{00000000-0005-0000-0000-000049010000}"/>
    <cellStyle name="Normal 15 2" xfId="363" xr:uid="{00000000-0005-0000-0000-00004A010000}"/>
    <cellStyle name="Normal 150" xfId="547" xr:uid="{00000000-0005-0000-0000-00004B010000}"/>
    <cellStyle name="Normal 151" xfId="549" xr:uid="{00000000-0005-0000-0000-00004C010000}"/>
    <cellStyle name="Normal 152" xfId="551" xr:uid="{00000000-0005-0000-0000-00004D010000}"/>
    <cellStyle name="Normal 153" xfId="553" xr:uid="{00000000-0005-0000-0000-00004E010000}"/>
    <cellStyle name="Normal 154" xfId="555" xr:uid="{00000000-0005-0000-0000-00004F010000}"/>
    <cellStyle name="Normal 155" xfId="557" xr:uid="{00000000-0005-0000-0000-000050010000}"/>
    <cellStyle name="Normal 156" xfId="559" xr:uid="{00000000-0005-0000-0000-000051010000}"/>
    <cellStyle name="Normal 157" xfId="567" xr:uid="{00000000-0005-0000-0000-000052010000}"/>
    <cellStyle name="Normal 158" xfId="565" xr:uid="{00000000-0005-0000-0000-000053010000}"/>
    <cellStyle name="Normal 16" xfId="16" xr:uid="{00000000-0005-0000-0000-000054010000}"/>
    <cellStyle name="Normal 17" xfId="17" xr:uid="{00000000-0005-0000-0000-000055010000}"/>
    <cellStyle name="Normal 18" xfId="18" xr:uid="{00000000-0005-0000-0000-000056010000}"/>
    <cellStyle name="Normal 19" xfId="19" xr:uid="{00000000-0005-0000-0000-000057010000}"/>
    <cellStyle name="Normal 19 2" xfId="364" xr:uid="{00000000-0005-0000-0000-000058010000}"/>
    <cellStyle name="Normal 2" xfId="2" xr:uid="{00000000-0005-0000-0000-000059010000}"/>
    <cellStyle name="Normal 2 2" xfId="1" xr:uid="{00000000-0005-0000-0000-00005A010000}"/>
    <cellStyle name="Normal 2 2 2" xfId="72" xr:uid="{00000000-0005-0000-0000-00005B010000}"/>
    <cellStyle name="Normal 2 2 2 2" xfId="365" xr:uid="{00000000-0005-0000-0000-00005C010000}"/>
    <cellStyle name="Normal 2 2 2 3" xfId="137" xr:uid="{00000000-0005-0000-0000-00005D010000}"/>
    <cellStyle name="Normal 2 2 3" xfId="366" xr:uid="{00000000-0005-0000-0000-00005E010000}"/>
    <cellStyle name="Normal 2 2_gr11" xfId="237" xr:uid="{00000000-0005-0000-0000-00005F010000}"/>
    <cellStyle name="Normal 2 3" xfId="71" xr:uid="{00000000-0005-0000-0000-000060010000}"/>
    <cellStyle name="normal 2 3 2" xfId="238" xr:uid="{00000000-0005-0000-0000-000061010000}"/>
    <cellStyle name="Normal 2 4" xfId="239" xr:uid="{00000000-0005-0000-0000-000062010000}"/>
    <cellStyle name="normal 2 5" xfId="240" xr:uid="{00000000-0005-0000-0000-000063010000}"/>
    <cellStyle name="Normal 2 6" xfId="131" xr:uid="{00000000-0005-0000-0000-000064010000}"/>
    <cellStyle name="Normal 2 7" xfId="428" xr:uid="{00000000-0005-0000-0000-000065010000}"/>
    <cellStyle name="Normal 2 8" xfId="429" xr:uid="{00000000-0005-0000-0000-000066010000}"/>
    <cellStyle name="Normal 20" xfId="20" xr:uid="{00000000-0005-0000-0000-000067010000}"/>
    <cellStyle name="Normal 21" xfId="21" xr:uid="{00000000-0005-0000-0000-000068010000}"/>
    <cellStyle name="Normal 22" xfId="22" xr:uid="{00000000-0005-0000-0000-000069010000}"/>
    <cellStyle name="Normal 23" xfId="23" xr:uid="{00000000-0005-0000-0000-00006A010000}"/>
    <cellStyle name="Normal 24" xfId="24" xr:uid="{00000000-0005-0000-0000-00006B010000}"/>
    <cellStyle name="Normal 25" xfId="25" xr:uid="{00000000-0005-0000-0000-00006C010000}"/>
    <cellStyle name="Normal 26" xfId="26" xr:uid="{00000000-0005-0000-0000-00006D010000}"/>
    <cellStyle name="Normal 27" xfId="27" xr:uid="{00000000-0005-0000-0000-00006E010000}"/>
    <cellStyle name="Normal 28" xfId="28" xr:uid="{00000000-0005-0000-0000-00006F010000}"/>
    <cellStyle name="Normal 29" xfId="29" xr:uid="{00000000-0005-0000-0000-000070010000}"/>
    <cellStyle name="Normal 3" xfId="3" xr:uid="{00000000-0005-0000-0000-000071010000}"/>
    <cellStyle name="Normal 3 2" xfId="135" xr:uid="{00000000-0005-0000-0000-000072010000}"/>
    <cellStyle name="Normal 3 3" xfId="241" xr:uid="{00000000-0005-0000-0000-000073010000}"/>
    <cellStyle name="Normal 3 4" xfId="242" xr:uid="{00000000-0005-0000-0000-000074010000}"/>
    <cellStyle name="Normal 3 4 2" xfId="123" xr:uid="{00000000-0005-0000-0000-000075010000}"/>
    <cellStyle name="Normal 3 5" xfId="367" xr:uid="{00000000-0005-0000-0000-000076010000}"/>
    <cellStyle name="Normal 3 6" xfId="132" xr:uid="{00000000-0005-0000-0000-000077010000}"/>
    <cellStyle name="Normal 30" xfId="30" xr:uid="{00000000-0005-0000-0000-000078010000}"/>
    <cellStyle name="Normal 31" xfId="31" xr:uid="{00000000-0005-0000-0000-000079010000}"/>
    <cellStyle name="Normal 32" xfId="32" xr:uid="{00000000-0005-0000-0000-00007A010000}"/>
    <cellStyle name="Normal 33" xfId="33" xr:uid="{00000000-0005-0000-0000-00007B010000}"/>
    <cellStyle name="Normal 33 2" xfId="368" xr:uid="{00000000-0005-0000-0000-00007C010000}"/>
    <cellStyle name="Normal 34" xfId="34" xr:uid="{00000000-0005-0000-0000-00007D010000}"/>
    <cellStyle name="Normal 35" xfId="35" xr:uid="{00000000-0005-0000-0000-00007E010000}"/>
    <cellStyle name="Normal 36" xfId="36" xr:uid="{00000000-0005-0000-0000-00007F010000}"/>
    <cellStyle name="Normal 37" xfId="37" xr:uid="{00000000-0005-0000-0000-000080010000}"/>
    <cellStyle name="Normal 38" xfId="38" xr:uid="{00000000-0005-0000-0000-000081010000}"/>
    <cellStyle name="Normal 39" xfId="39" xr:uid="{00000000-0005-0000-0000-000082010000}"/>
    <cellStyle name="Normal 4" xfId="4" xr:uid="{00000000-0005-0000-0000-000083010000}"/>
    <cellStyle name="Normal 4 2" xfId="138" xr:uid="{00000000-0005-0000-0000-000084010000}"/>
    <cellStyle name="Normal 4 3" xfId="133" xr:uid="{00000000-0005-0000-0000-000085010000}"/>
    <cellStyle name="Normal 40" xfId="40" xr:uid="{00000000-0005-0000-0000-000086010000}"/>
    <cellStyle name="Normal 41" xfId="41" xr:uid="{00000000-0005-0000-0000-000087010000}"/>
    <cellStyle name="Normal 42" xfId="42" xr:uid="{00000000-0005-0000-0000-000088010000}"/>
    <cellStyle name="Normal 43" xfId="43" xr:uid="{00000000-0005-0000-0000-000089010000}"/>
    <cellStyle name="Normal 44" xfId="44" xr:uid="{00000000-0005-0000-0000-00008A010000}"/>
    <cellStyle name="Normal 45" xfId="45" xr:uid="{00000000-0005-0000-0000-00008B010000}"/>
    <cellStyle name="Normal 46" xfId="46" xr:uid="{00000000-0005-0000-0000-00008C010000}"/>
    <cellStyle name="Normal 47" xfId="47" xr:uid="{00000000-0005-0000-0000-00008D010000}"/>
    <cellStyle name="Normal 48" xfId="48" xr:uid="{00000000-0005-0000-0000-00008E010000}"/>
    <cellStyle name="Normal 49" xfId="49" xr:uid="{00000000-0005-0000-0000-00008F010000}"/>
    <cellStyle name="Normal 5" xfId="5" xr:uid="{00000000-0005-0000-0000-000090010000}"/>
    <cellStyle name="Normal 5 2" xfId="134" xr:uid="{00000000-0005-0000-0000-000091010000}"/>
    <cellStyle name="Normal 5 2 2" xfId="301" xr:uid="{00000000-0005-0000-0000-000092010000}"/>
    <cellStyle name="Normal 5 3" xfId="243" xr:uid="{00000000-0005-0000-0000-000093010000}"/>
    <cellStyle name="Normal 5 4" xfId="299" xr:uid="{00000000-0005-0000-0000-000094010000}"/>
    <cellStyle name="Normal 5 4 2" xfId="306" xr:uid="{00000000-0005-0000-0000-000095010000}"/>
    <cellStyle name="Normal 5 4 2 2" xfId="308" xr:uid="{00000000-0005-0000-0000-000096010000}"/>
    <cellStyle name="Normal 5 4 2 2 2" xfId="310" xr:uid="{00000000-0005-0000-0000-000097010000}"/>
    <cellStyle name="Normal 5 5" xfId="300" xr:uid="{00000000-0005-0000-0000-000098010000}"/>
    <cellStyle name="Normal 5 6" xfId="302" xr:uid="{00000000-0005-0000-0000-000099010000}"/>
    <cellStyle name="Normal 5 6 2" xfId="303" xr:uid="{00000000-0005-0000-0000-00009A010000}"/>
    <cellStyle name="Normal 5 6 2 2" xfId="304" xr:uid="{00000000-0005-0000-0000-00009B010000}"/>
    <cellStyle name="Normal 5 6 2 2 2" xfId="305" xr:uid="{00000000-0005-0000-0000-00009C010000}"/>
    <cellStyle name="Normal 5 6 2 2 2 2" xfId="307" xr:uid="{00000000-0005-0000-0000-00009D010000}"/>
    <cellStyle name="Normal 5 6 2 2 2 2 2" xfId="309" xr:uid="{00000000-0005-0000-0000-00009E010000}"/>
    <cellStyle name="Normal 5 6 2 2 2 2 2 2" xfId="420" xr:uid="{00000000-0005-0000-0000-00009F010000}"/>
    <cellStyle name="Normal 5 6 2 2 2 2 3" xfId="311" xr:uid="{00000000-0005-0000-0000-0000A0010000}"/>
    <cellStyle name="Normal 50" xfId="50" xr:uid="{00000000-0005-0000-0000-0000A1010000}"/>
    <cellStyle name="Normal 51" xfId="51" xr:uid="{00000000-0005-0000-0000-0000A2010000}"/>
    <cellStyle name="Normal 52" xfId="52" xr:uid="{00000000-0005-0000-0000-0000A3010000}"/>
    <cellStyle name="Normal 53" xfId="53" xr:uid="{00000000-0005-0000-0000-0000A4010000}"/>
    <cellStyle name="Normal 54" xfId="54" xr:uid="{00000000-0005-0000-0000-0000A5010000}"/>
    <cellStyle name="Normal 55" xfId="55" xr:uid="{00000000-0005-0000-0000-0000A6010000}"/>
    <cellStyle name="Normal 56" xfId="56" xr:uid="{00000000-0005-0000-0000-0000A7010000}"/>
    <cellStyle name="Normal 57" xfId="57" xr:uid="{00000000-0005-0000-0000-0000A8010000}"/>
    <cellStyle name="Normal 58" xfId="58" xr:uid="{00000000-0005-0000-0000-0000A9010000}"/>
    <cellStyle name="Normal 59" xfId="59" xr:uid="{00000000-0005-0000-0000-0000AA010000}"/>
    <cellStyle name="Normal 6" xfId="6" xr:uid="{00000000-0005-0000-0000-0000AB010000}"/>
    <cellStyle name="Normal 60" xfId="60" xr:uid="{00000000-0005-0000-0000-0000AC010000}"/>
    <cellStyle name="Normal 61" xfId="61" xr:uid="{00000000-0005-0000-0000-0000AD010000}"/>
    <cellStyle name="Normal 62" xfId="62" xr:uid="{00000000-0005-0000-0000-0000AE010000}"/>
    <cellStyle name="Normal 63" xfId="64" xr:uid="{00000000-0005-0000-0000-0000AF010000}"/>
    <cellStyle name="Normal 64" xfId="65" xr:uid="{00000000-0005-0000-0000-0000B0010000}"/>
    <cellStyle name="Normal 65" xfId="66" xr:uid="{00000000-0005-0000-0000-0000B1010000}"/>
    <cellStyle name="Normal 65 2" xfId="95" xr:uid="{00000000-0005-0000-0000-0000B2010000}"/>
    <cellStyle name="Normal 66" xfId="67" xr:uid="{00000000-0005-0000-0000-0000B3010000}"/>
    <cellStyle name="Normal 66 2" xfId="434" xr:uid="{00000000-0005-0000-0000-0000B4010000}"/>
    <cellStyle name="Normal 66 3" xfId="362" xr:uid="{00000000-0005-0000-0000-0000B5010000}"/>
    <cellStyle name="Normal 67" xfId="68" xr:uid="{00000000-0005-0000-0000-0000B6010000}"/>
    <cellStyle name="Normal 67 2" xfId="94" xr:uid="{00000000-0005-0000-0000-0000B7010000}"/>
    <cellStyle name="Normal 68" xfId="69" xr:uid="{00000000-0005-0000-0000-0000B8010000}"/>
    <cellStyle name="Normal 69" xfId="70" xr:uid="{00000000-0005-0000-0000-0000B9010000}"/>
    <cellStyle name="Normal 7" xfId="7" xr:uid="{00000000-0005-0000-0000-0000BA010000}"/>
    <cellStyle name="Normal 7 2" xfId="369" xr:uid="{00000000-0005-0000-0000-0000BB010000}"/>
    <cellStyle name="Normal 7 3" xfId="244" xr:uid="{00000000-0005-0000-0000-0000BC010000}"/>
    <cellStyle name="Normal 70" xfId="81" xr:uid="{00000000-0005-0000-0000-0000BD010000}"/>
    <cellStyle name="Normal 71" xfId="82" xr:uid="{00000000-0005-0000-0000-0000BE010000}"/>
    <cellStyle name="Normal 72" xfId="83" xr:uid="{00000000-0005-0000-0000-0000BF010000}"/>
    <cellStyle name="Normal 73" xfId="84" xr:uid="{00000000-0005-0000-0000-0000C0010000}"/>
    <cellStyle name="Normal 74" xfId="86" xr:uid="{00000000-0005-0000-0000-0000C1010000}"/>
    <cellStyle name="Normal 75" xfId="87" xr:uid="{00000000-0005-0000-0000-0000C2010000}"/>
    <cellStyle name="Normal 76" xfId="88" xr:uid="{00000000-0005-0000-0000-0000C3010000}"/>
    <cellStyle name="Normal 77" xfId="89" xr:uid="{00000000-0005-0000-0000-0000C4010000}"/>
    <cellStyle name="Normal 78" xfId="90" xr:uid="{00000000-0005-0000-0000-0000C5010000}"/>
    <cellStyle name="Normal 79" xfId="74" xr:uid="{00000000-0005-0000-0000-0000C6010000}"/>
    <cellStyle name="Normal 8" xfId="8" xr:uid="{00000000-0005-0000-0000-0000C7010000}"/>
    <cellStyle name="Normal 8 2" xfId="370" xr:uid="{00000000-0005-0000-0000-0000C8010000}"/>
    <cellStyle name="Normal 8 3" xfId="245" xr:uid="{00000000-0005-0000-0000-0000C9010000}"/>
    <cellStyle name="Normal 80" xfId="102" xr:uid="{00000000-0005-0000-0000-0000CA010000}"/>
    <cellStyle name="Normal 81" xfId="103" xr:uid="{00000000-0005-0000-0000-0000CB010000}"/>
    <cellStyle name="Normal 82" xfId="104" xr:uid="{00000000-0005-0000-0000-0000CC010000}"/>
    <cellStyle name="Normal 83" xfId="80" xr:uid="{00000000-0005-0000-0000-0000CD010000}"/>
    <cellStyle name="Normal 84" xfId="79" xr:uid="{00000000-0005-0000-0000-0000CE010000}"/>
    <cellStyle name="Normal 85" xfId="105" xr:uid="{00000000-0005-0000-0000-0000CF010000}"/>
    <cellStyle name="Normal 86" xfId="106" xr:uid="{00000000-0005-0000-0000-0000D0010000}"/>
    <cellStyle name="Normal 87" xfId="107" xr:uid="{00000000-0005-0000-0000-0000D1010000}"/>
    <cellStyle name="Normal 88" xfId="75" xr:uid="{00000000-0005-0000-0000-0000D2010000}"/>
    <cellStyle name="Normal 89" xfId="108" xr:uid="{00000000-0005-0000-0000-0000D3010000}"/>
    <cellStyle name="Normal 9" xfId="9" xr:uid="{00000000-0005-0000-0000-0000D4010000}"/>
    <cellStyle name="Normal 90" xfId="109" xr:uid="{00000000-0005-0000-0000-0000D5010000}"/>
    <cellStyle name="Normal 91" xfId="76" xr:uid="{00000000-0005-0000-0000-0000D6010000}"/>
    <cellStyle name="Normal 92" xfId="110" xr:uid="{00000000-0005-0000-0000-0000D7010000}"/>
    <cellStyle name="Normal 93" xfId="111" xr:uid="{00000000-0005-0000-0000-0000D8010000}"/>
    <cellStyle name="Normal 94" xfId="92" xr:uid="{00000000-0005-0000-0000-0000D9010000}"/>
    <cellStyle name="Normal 95" xfId="93" xr:uid="{00000000-0005-0000-0000-0000DA010000}"/>
    <cellStyle name="Normal 96" xfId="112" xr:uid="{00000000-0005-0000-0000-0000DB010000}"/>
    <cellStyle name="Normal 97" xfId="113" xr:uid="{00000000-0005-0000-0000-0000DC010000}"/>
    <cellStyle name="Normal 98" xfId="114" xr:uid="{00000000-0005-0000-0000-0000DD010000}"/>
    <cellStyle name="Normal 99" xfId="115" xr:uid="{00000000-0005-0000-0000-0000DE010000}"/>
    <cellStyle name="Normal Table" xfId="246" xr:uid="{00000000-0005-0000-0000-0000DF010000}"/>
    <cellStyle name="Normal Table 2" xfId="371" xr:uid="{00000000-0005-0000-0000-0000E0010000}"/>
    <cellStyle name="Normal_Udhezimi-Tabelat" xfId="536" xr:uid="{00000000-0005-0000-0000-0000E1010000}"/>
    <cellStyle name="Normale 2" xfId="372" xr:uid="{00000000-0005-0000-0000-0000E2010000}"/>
    <cellStyle name="normálne__1_NDARJA  BUXHETIT Universiteteve _2007-2008 sipas Formulës.xls_Flori_PM" xfId="247" xr:uid="{00000000-0005-0000-0000-0000E3010000}"/>
    <cellStyle name="Note 2" xfId="248" xr:uid="{00000000-0005-0000-0000-0000E4010000}"/>
    <cellStyle name="Note 2 2" xfId="373" xr:uid="{00000000-0005-0000-0000-0000E5010000}"/>
    <cellStyle name="Note 3" xfId="374" xr:uid="{00000000-0005-0000-0000-0000E6010000}"/>
    <cellStyle name="Output 2" xfId="249" xr:uid="{00000000-0005-0000-0000-0000E7010000}"/>
    <cellStyle name="Output Amounts" xfId="250" xr:uid="{00000000-0005-0000-0000-0000E8010000}"/>
    <cellStyle name="Output Amounts 2" xfId="375" xr:uid="{00000000-0005-0000-0000-0000E9010000}"/>
    <cellStyle name="Percent" xfId="91" builtinId="5"/>
    <cellStyle name="Percent [2]" xfId="251" xr:uid="{00000000-0005-0000-0000-0000EB010000}"/>
    <cellStyle name="Percent [2] 2" xfId="376" xr:uid="{00000000-0005-0000-0000-0000EC010000}"/>
    <cellStyle name="Percent 10" xfId="449" xr:uid="{00000000-0005-0000-0000-0000ED010000}"/>
    <cellStyle name="Percent 11" xfId="510" xr:uid="{00000000-0005-0000-0000-0000EE010000}"/>
    <cellStyle name="Percent 12" xfId="121" xr:uid="{00000000-0005-0000-0000-0000EF010000}"/>
    <cellStyle name="Percent 13" xfId="523" xr:uid="{00000000-0005-0000-0000-0000F0010000}"/>
    <cellStyle name="Percent 14" xfId="524" xr:uid="{00000000-0005-0000-0000-0000F1010000}"/>
    <cellStyle name="Percent 15" xfId="529" xr:uid="{00000000-0005-0000-0000-0000F2010000}"/>
    <cellStyle name="Percent 16" xfId="561" xr:uid="{00000000-0005-0000-0000-0000F3010000}"/>
    <cellStyle name="Percent 17" xfId="564" xr:uid="{00000000-0005-0000-0000-0000F4010000}"/>
    <cellStyle name="Percent 18" xfId="377" xr:uid="{00000000-0005-0000-0000-0000F5010000}"/>
    <cellStyle name="Percent 2" xfId="85" xr:uid="{00000000-0005-0000-0000-0000F6010000}"/>
    <cellStyle name="Percent 2 2" xfId="252" xr:uid="{00000000-0005-0000-0000-0000F7010000}"/>
    <cellStyle name="Percent 2 3" xfId="139" xr:uid="{00000000-0005-0000-0000-0000F8010000}"/>
    <cellStyle name="Percent 3" xfId="253" xr:uid="{00000000-0005-0000-0000-0000F9010000}"/>
    <cellStyle name="Percent 3 2" xfId="378" xr:uid="{00000000-0005-0000-0000-0000FA010000}"/>
    <cellStyle name="Percent 4" xfId="254" xr:uid="{00000000-0005-0000-0000-0000FB010000}"/>
    <cellStyle name="Percent 5" xfId="379" xr:uid="{00000000-0005-0000-0000-0000FC010000}"/>
    <cellStyle name="Percent 6" xfId="426" xr:uid="{00000000-0005-0000-0000-0000FD010000}"/>
    <cellStyle name="Percent 7" xfId="465" xr:uid="{00000000-0005-0000-0000-0000FE010000}"/>
    <cellStyle name="Percent 8" xfId="466" xr:uid="{00000000-0005-0000-0000-0000FF010000}"/>
    <cellStyle name="Percent 9" xfId="462" xr:uid="{00000000-0005-0000-0000-000000020000}"/>
    <cellStyle name="percentage difference" xfId="255" xr:uid="{00000000-0005-0000-0000-000001020000}"/>
    <cellStyle name="percentage difference one decimal" xfId="256" xr:uid="{00000000-0005-0000-0000-000002020000}"/>
    <cellStyle name="percentage difference zero decimal" xfId="257" xr:uid="{00000000-0005-0000-0000-000003020000}"/>
    <cellStyle name="Percentuale 2" xfId="380" xr:uid="{00000000-0005-0000-0000-000004020000}"/>
    <cellStyle name="Pevný" xfId="258" xr:uid="{00000000-0005-0000-0000-000005020000}"/>
    <cellStyle name="Presentation" xfId="259" xr:uid="{00000000-0005-0000-0000-000006020000}"/>
    <cellStyle name="Presentation 2" xfId="381" xr:uid="{00000000-0005-0000-0000-000007020000}"/>
    <cellStyle name="Proj" xfId="260" xr:uid="{00000000-0005-0000-0000-000008020000}"/>
    <cellStyle name="Proj 2" xfId="382" xr:uid="{00000000-0005-0000-0000-000009020000}"/>
    <cellStyle name="Publication" xfId="261" xr:uid="{00000000-0005-0000-0000-00000A020000}"/>
    <cellStyle name="STYL1 - Style1" xfId="262" xr:uid="{00000000-0005-0000-0000-00000B020000}"/>
    <cellStyle name="Style 1" xfId="263" xr:uid="{00000000-0005-0000-0000-00000C020000}"/>
    <cellStyle name="Style 1 2" xfId="383" xr:uid="{00000000-0005-0000-0000-00000D020000}"/>
    <cellStyle name="Text" xfId="264" xr:uid="{00000000-0005-0000-0000-00000E020000}"/>
    <cellStyle name="Text 2" xfId="384" xr:uid="{00000000-0005-0000-0000-00000F020000}"/>
    <cellStyle name="Title 2" xfId="265" xr:uid="{00000000-0005-0000-0000-000010020000}"/>
    <cellStyle name="Total 2" xfId="266" xr:uid="{00000000-0005-0000-0000-000011020000}"/>
    <cellStyle name="Warning Text 2" xfId="267" xr:uid="{00000000-0005-0000-0000-000012020000}"/>
    <cellStyle name="WebAnchor1" xfId="268" xr:uid="{00000000-0005-0000-0000-000013020000}"/>
    <cellStyle name="WebAnchor2" xfId="269" xr:uid="{00000000-0005-0000-0000-000014020000}"/>
    <cellStyle name="WebAnchor3" xfId="270" xr:uid="{00000000-0005-0000-0000-000015020000}"/>
    <cellStyle name="WebAnchor4" xfId="271" xr:uid="{00000000-0005-0000-0000-000016020000}"/>
    <cellStyle name="WebAnchor5" xfId="272" xr:uid="{00000000-0005-0000-0000-000017020000}"/>
    <cellStyle name="WebAnchor6" xfId="273" xr:uid="{00000000-0005-0000-0000-000018020000}"/>
    <cellStyle name="WebAnchor7" xfId="274" xr:uid="{00000000-0005-0000-0000-000019020000}"/>
    <cellStyle name="Webexclude" xfId="275" xr:uid="{00000000-0005-0000-0000-00001A020000}"/>
    <cellStyle name="Webexclude 2" xfId="385" xr:uid="{00000000-0005-0000-0000-00001B020000}"/>
    <cellStyle name="WebFN" xfId="276" xr:uid="{00000000-0005-0000-0000-00001C020000}"/>
    <cellStyle name="WebFN1" xfId="277" xr:uid="{00000000-0005-0000-0000-00001D020000}"/>
    <cellStyle name="WebFN2" xfId="278" xr:uid="{00000000-0005-0000-0000-00001E020000}"/>
    <cellStyle name="WebFN3" xfId="279" xr:uid="{00000000-0005-0000-0000-00001F020000}"/>
    <cellStyle name="WebFN4" xfId="280" xr:uid="{00000000-0005-0000-0000-000020020000}"/>
    <cellStyle name="WebHR" xfId="281" xr:uid="{00000000-0005-0000-0000-000021020000}"/>
    <cellStyle name="WebHR 2" xfId="386" xr:uid="{00000000-0005-0000-0000-000022020000}"/>
    <cellStyle name="WebIndent1" xfId="282" xr:uid="{00000000-0005-0000-0000-000023020000}"/>
    <cellStyle name="WebIndent1 2" xfId="387" xr:uid="{00000000-0005-0000-0000-000024020000}"/>
    <cellStyle name="WebIndent1wFN3" xfId="283" xr:uid="{00000000-0005-0000-0000-000025020000}"/>
    <cellStyle name="WebIndent2" xfId="284" xr:uid="{00000000-0005-0000-0000-000026020000}"/>
    <cellStyle name="WebIndent2 2" xfId="388" xr:uid="{00000000-0005-0000-0000-000027020000}"/>
    <cellStyle name="WebNoBR" xfId="285" xr:uid="{00000000-0005-0000-0000-000028020000}"/>
    <cellStyle name="WebNoBR 2" xfId="389" xr:uid="{00000000-0005-0000-0000-000029020000}"/>
    <cellStyle name="Záhlaví 1" xfId="286" xr:uid="{00000000-0005-0000-0000-00002A020000}"/>
    <cellStyle name="Záhlaví 2" xfId="287" xr:uid="{00000000-0005-0000-0000-00002B020000}"/>
    <cellStyle name="zero" xfId="288" xr:uid="{00000000-0005-0000-0000-00002C020000}"/>
    <cellStyle name="zero 2" xfId="390" xr:uid="{00000000-0005-0000-0000-00002D020000}"/>
    <cellStyle name="zero 3" xfId="391" xr:uid="{00000000-0005-0000-0000-00002E020000}"/>
    <cellStyle name="ДАТА" xfId="289" xr:uid="{00000000-0005-0000-0000-00002F020000}"/>
    <cellStyle name="ДЕНЕЖНЫЙ_BOPENGC" xfId="290" xr:uid="{00000000-0005-0000-0000-000030020000}"/>
    <cellStyle name="ЗАГОЛОВОК1" xfId="291" xr:uid="{00000000-0005-0000-0000-000031020000}"/>
    <cellStyle name="ЗАГОЛОВОК2" xfId="292" xr:uid="{00000000-0005-0000-0000-000032020000}"/>
    <cellStyle name="ИТОГОВЫЙ" xfId="293" xr:uid="{00000000-0005-0000-0000-000033020000}"/>
    <cellStyle name="Обычный_BOPENGC" xfId="294" xr:uid="{00000000-0005-0000-0000-000034020000}"/>
    <cellStyle name="ПРОЦЕНТНЫЙ_BOPENGC" xfId="295" xr:uid="{00000000-0005-0000-0000-000035020000}"/>
    <cellStyle name="ТЕКСТ" xfId="296" xr:uid="{00000000-0005-0000-0000-000036020000}"/>
    <cellStyle name="ФИКСИРОВАННЫЙ" xfId="297" xr:uid="{00000000-0005-0000-0000-000037020000}"/>
    <cellStyle name="ФИНАНСОВЫЙ_BOPENGC" xfId="298" xr:uid="{00000000-0005-0000-0000-00003802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2" name="AutoShape 292" descr="mail?cmd=cookie">
          <a:extLst>
            <a:ext uri="{FF2B5EF4-FFF2-40B4-BE49-F238E27FC236}">
              <a16:creationId xmlns:a16="http://schemas.microsoft.com/office/drawing/2014/main" id="{51158BF7-8DF5-4AF1-A03D-1C53F4DB9AB6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" name="AutoShape 292" descr="mail?cmd=cookie">
          <a:extLst>
            <a:ext uri="{FF2B5EF4-FFF2-40B4-BE49-F238E27FC236}">
              <a16:creationId xmlns:a16="http://schemas.microsoft.com/office/drawing/2014/main" id="{2356C69D-099E-48D0-8FFC-35DF368C664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" name="AutoShape 292" descr="mail?cmd=cookie">
          <a:extLst>
            <a:ext uri="{FF2B5EF4-FFF2-40B4-BE49-F238E27FC236}">
              <a16:creationId xmlns:a16="http://schemas.microsoft.com/office/drawing/2014/main" id="{D94DC1DB-F613-4659-85B7-56D4D164865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5" name="AutoShape 292" descr="mail?cmd=cookie">
          <a:extLst>
            <a:ext uri="{FF2B5EF4-FFF2-40B4-BE49-F238E27FC236}">
              <a16:creationId xmlns:a16="http://schemas.microsoft.com/office/drawing/2014/main" id="{7E02EDD5-741E-4187-A0CB-09D97ABE55C3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6" name="AutoShape 292" descr="mail?cmd=cookie">
          <a:extLst>
            <a:ext uri="{FF2B5EF4-FFF2-40B4-BE49-F238E27FC236}">
              <a16:creationId xmlns:a16="http://schemas.microsoft.com/office/drawing/2014/main" id="{EC971FE9-B633-4D36-9504-1C07BF6E6DA8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7" name="AutoShape 292" descr="mail?cmd=cookie">
          <a:extLst>
            <a:ext uri="{FF2B5EF4-FFF2-40B4-BE49-F238E27FC236}">
              <a16:creationId xmlns:a16="http://schemas.microsoft.com/office/drawing/2014/main" id="{EC5D2707-96D6-4072-AEF0-E7D55F880DEA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8" name="AutoShape 292" descr="mail?cmd=cookie">
          <a:extLst>
            <a:ext uri="{FF2B5EF4-FFF2-40B4-BE49-F238E27FC236}">
              <a16:creationId xmlns:a16="http://schemas.microsoft.com/office/drawing/2014/main" id="{C03442E6-995B-4804-AC58-E607F0DA0C99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9" name="AutoShape 292" descr="mail?cmd=cookie">
          <a:extLst>
            <a:ext uri="{FF2B5EF4-FFF2-40B4-BE49-F238E27FC236}">
              <a16:creationId xmlns:a16="http://schemas.microsoft.com/office/drawing/2014/main" id="{93ED3466-8947-44C3-9691-570F775BA51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0" name="AutoShape 292" descr="mail?cmd=cookie">
          <a:extLst>
            <a:ext uri="{FF2B5EF4-FFF2-40B4-BE49-F238E27FC236}">
              <a16:creationId xmlns:a16="http://schemas.microsoft.com/office/drawing/2014/main" id="{557A619A-D405-4033-A6A6-EF21CE12AF0A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1" name="AutoShape 292" descr="mail?cmd=cookie">
          <a:extLst>
            <a:ext uri="{FF2B5EF4-FFF2-40B4-BE49-F238E27FC236}">
              <a16:creationId xmlns:a16="http://schemas.microsoft.com/office/drawing/2014/main" id="{63EAF94C-0ABD-4469-91DC-10A850C240FE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2" name="AutoShape 292" descr="mail?cmd=cookie">
          <a:extLst>
            <a:ext uri="{FF2B5EF4-FFF2-40B4-BE49-F238E27FC236}">
              <a16:creationId xmlns:a16="http://schemas.microsoft.com/office/drawing/2014/main" id="{AEBB8175-BBDC-4E5C-8576-04DF49C5061F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3" name="AutoShape 292" descr="mail?cmd=cookie">
          <a:extLst>
            <a:ext uri="{FF2B5EF4-FFF2-40B4-BE49-F238E27FC236}">
              <a16:creationId xmlns:a16="http://schemas.microsoft.com/office/drawing/2014/main" id="{DF3A2015-9FC0-43BA-907E-3E5FAEB704D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14" name="AutoShape 292" descr="mail?cmd=cookie">
          <a:extLst>
            <a:ext uri="{FF2B5EF4-FFF2-40B4-BE49-F238E27FC236}">
              <a16:creationId xmlns:a16="http://schemas.microsoft.com/office/drawing/2014/main" id="{2181B95A-CEEC-4C41-B3CB-C9D39A6A27C4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15" name="AutoShape 292" descr="mail?cmd=cookie">
          <a:extLst>
            <a:ext uri="{FF2B5EF4-FFF2-40B4-BE49-F238E27FC236}">
              <a16:creationId xmlns:a16="http://schemas.microsoft.com/office/drawing/2014/main" id="{714BB8A0-71CD-4DB2-9EB4-2E282FF2EC18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6" name="AutoShape 292" descr="mail?cmd=cookie">
          <a:extLst>
            <a:ext uri="{FF2B5EF4-FFF2-40B4-BE49-F238E27FC236}">
              <a16:creationId xmlns:a16="http://schemas.microsoft.com/office/drawing/2014/main" id="{E1B8B8F7-53D8-4577-B925-EEBDADFCF5B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7" name="AutoShape 292" descr="mail?cmd=cookie">
          <a:extLst>
            <a:ext uri="{FF2B5EF4-FFF2-40B4-BE49-F238E27FC236}">
              <a16:creationId xmlns:a16="http://schemas.microsoft.com/office/drawing/2014/main" id="{4CB17635-199F-42B0-932A-DDCF2D81EE82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8" name="AutoShape 292" descr="mail?cmd=cookie">
          <a:extLst>
            <a:ext uri="{FF2B5EF4-FFF2-40B4-BE49-F238E27FC236}">
              <a16:creationId xmlns:a16="http://schemas.microsoft.com/office/drawing/2014/main" id="{B4D3D0AB-7691-4A6B-B579-AA7AAEB66A7A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19" name="AutoShape 292" descr="mail?cmd=cookie">
          <a:extLst>
            <a:ext uri="{FF2B5EF4-FFF2-40B4-BE49-F238E27FC236}">
              <a16:creationId xmlns:a16="http://schemas.microsoft.com/office/drawing/2014/main" id="{F5D58122-29BE-447A-BBED-C7149CE0489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0" name="AutoShape 292" descr="mail?cmd=cookie">
          <a:extLst>
            <a:ext uri="{FF2B5EF4-FFF2-40B4-BE49-F238E27FC236}">
              <a16:creationId xmlns:a16="http://schemas.microsoft.com/office/drawing/2014/main" id="{29B17914-5812-4AFE-8689-270CFA0929A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1" name="AutoShape 292" descr="mail?cmd=cookie">
          <a:extLst>
            <a:ext uri="{FF2B5EF4-FFF2-40B4-BE49-F238E27FC236}">
              <a16:creationId xmlns:a16="http://schemas.microsoft.com/office/drawing/2014/main" id="{12094FAE-A52D-41AE-B3EB-DFC0AAEE68C4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2" name="AutoShape 292" descr="mail?cmd=cookie">
          <a:extLst>
            <a:ext uri="{FF2B5EF4-FFF2-40B4-BE49-F238E27FC236}">
              <a16:creationId xmlns:a16="http://schemas.microsoft.com/office/drawing/2014/main" id="{525ABEB6-B32F-45FB-91B4-E1FD7E9E1B0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3" name="AutoShape 292" descr="mail?cmd=cookie">
          <a:extLst>
            <a:ext uri="{FF2B5EF4-FFF2-40B4-BE49-F238E27FC236}">
              <a16:creationId xmlns:a16="http://schemas.microsoft.com/office/drawing/2014/main" id="{280672EC-75DE-4864-897A-C0EFA99E6766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24" name="AutoShape 292" descr="mail?cmd=cookie">
          <a:extLst>
            <a:ext uri="{FF2B5EF4-FFF2-40B4-BE49-F238E27FC236}">
              <a16:creationId xmlns:a16="http://schemas.microsoft.com/office/drawing/2014/main" id="{DC07486C-201C-466A-A42C-4F6F55C0AD6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25" name="AutoShape 292" descr="mail?cmd=cookie">
          <a:extLst>
            <a:ext uri="{FF2B5EF4-FFF2-40B4-BE49-F238E27FC236}">
              <a16:creationId xmlns:a16="http://schemas.microsoft.com/office/drawing/2014/main" id="{8A187068-FF94-4277-8A75-4097C0E86DF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26" name="AutoShape 292" descr="mail?cmd=cookie">
          <a:extLst>
            <a:ext uri="{FF2B5EF4-FFF2-40B4-BE49-F238E27FC236}">
              <a16:creationId xmlns:a16="http://schemas.microsoft.com/office/drawing/2014/main" id="{76D222EB-62BC-432F-A7AA-D1251648429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27" name="AutoShape 292" descr="mail?cmd=cookie">
          <a:extLst>
            <a:ext uri="{FF2B5EF4-FFF2-40B4-BE49-F238E27FC236}">
              <a16:creationId xmlns:a16="http://schemas.microsoft.com/office/drawing/2014/main" id="{3E068D3D-C20A-4847-9ED6-1E419376FD2F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8" name="AutoShape 292" descr="mail?cmd=cookie">
          <a:extLst>
            <a:ext uri="{FF2B5EF4-FFF2-40B4-BE49-F238E27FC236}">
              <a16:creationId xmlns:a16="http://schemas.microsoft.com/office/drawing/2014/main" id="{A9B3822B-60D7-4699-9ED1-23A19DA6514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29" name="AutoShape 292" descr="mail?cmd=cookie">
          <a:extLst>
            <a:ext uri="{FF2B5EF4-FFF2-40B4-BE49-F238E27FC236}">
              <a16:creationId xmlns:a16="http://schemas.microsoft.com/office/drawing/2014/main" id="{2D877480-4501-44AF-8E7E-C5823DD6DB7F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0" name="AutoShape 292" descr="mail?cmd=cookie">
          <a:extLst>
            <a:ext uri="{FF2B5EF4-FFF2-40B4-BE49-F238E27FC236}">
              <a16:creationId xmlns:a16="http://schemas.microsoft.com/office/drawing/2014/main" id="{57BF6139-3D4C-42E4-AE51-71C820B85BF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1" name="AutoShape 292" descr="mail?cmd=cookie">
          <a:extLst>
            <a:ext uri="{FF2B5EF4-FFF2-40B4-BE49-F238E27FC236}">
              <a16:creationId xmlns:a16="http://schemas.microsoft.com/office/drawing/2014/main" id="{160A3C67-C06B-46CB-969B-57779FA3F2E3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2" name="AutoShape 292" descr="mail?cmd=cookie">
          <a:extLst>
            <a:ext uri="{FF2B5EF4-FFF2-40B4-BE49-F238E27FC236}">
              <a16:creationId xmlns:a16="http://schemas.microsoft.com/office/drawing/2014/main" id="{960877DA-DDFB-4976-B9E0-BBEFFC967289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3" name="AutoShape 292" descr="mail?cmd=cookie">
          <a:extLst>
            <a:ext uri="{FF2B5EF4-FFF2-40B4-BE49-F238E27FC236}">
              <a16:creationId xmlns:a16="http://schemas.microsoft.com/office/drawing/2014/main" id="{009E56FE-63AD-4EAE-8E33-359BFA559AD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34" name="AutoShape 292" descr="mail?cmd=cookie">
          <a:extLst>
            <a:ext uri="{FF2B5EF4-FFF2-40B4-BE49-F238E27FC236}">
              <a16:creationId xmlns:a16="http://schemas.microsoft.com/office/drawing/2014/main" id="{F3877482-3EED-4113-8DFF-144F00B60C57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35" name="AutoShape 292" descr="mail?cmd=cookie">
          <a:extLst>
            <a:ext uri="{FF2B5EF4-FFF2-40B4-BE49-F238E27FC236}">
              <a16:creationId xmlns:a16="http://schemas.microsoft.com/office/drawing/2014/main" id="{40427F53-648D-40BF-9AE7-2EF891C93E82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36" name="AutoShape 292" descr="mail?cmd=cookie">
          <a:extLst>
            <a:ext uri="{FF2B5EF4-FFF2-40B4-BE49-F238E27FC236}">
              <a16:creationId xmlns:a16="http://schemas.microsoft.com/office/drawing/2014/main" id="{E66C43F9-6391-4B60-9EF1-257660424B9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37" name="AutoShape 292" descr="mail?cmd=cookie">
          <a:extLst>
            <a:ext uri="{FF2B5EF4-FFF2-40B4-BE49-F238E27FC236}">
              <a16:creationId xmlns:a16="http://schemas.microsoft.com/office/drawing/2014/main" id="{942BEB20-746A-45A7-A41E-6265C556840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8" name="AutoShape 292" descr="mail?cmd=cookie">
          <a:extLst>
            <a:ext uri="{FF2B5EF4-FFF2-40B4-BE49-F238E27FC236}">
              <a16:creationId xmlns:a16="http://schemas.microsoft.com/office/drawing/2014/main" id="{16257D0A-10EF-4D33-9D41-8FF46613790E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39" name="AutoShape 292" descr="mail?cmd=cookie">
          <a:extLst>
            <a:ext uri="{FF2B5EF4-FFF2-40B4-BE49-F238E27FC236}">
              <a16:creationId xmlns:a16="http://schemas.microsoft.com/office/drawing/2014/main" id="{D364FEF9-9D38-4352-83FB-ADA44DA9CBDE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0" name="AutoShape 292" descr="mail?cmd=cookie">
          <a:extLst>
            <a:ext uri="{FF2B5EF4-FFF2-40B4-BE49-F238E27FC236}">
              <a16:creationId xmlns:a16="http://schemas.microsoft.com/office/drawing/2014/main" id="{A8D8912F-5A26-4B6F-BF33-CE559CA4B79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1" name="AutoShape 292" descr="mail?cmd=cookie">
          <a:extLst>
            <a:ext uri="{FF2B5EF4-FFF2-40B4-BE49-F238E27FC236}">
              <a16:creationId xmlns:a16="http://schemas.microsoft.com/office/drawing/2014/main" id="{D8B36936-8492-49CD-8E47-7BBB5AC25704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42" name="AutoShape 292" descr="mail?cmd=cookie">
          <a:extLst>
            <a:ext uri="{FF2B5EF4-FFF2-40B4-BE49-F238E27FC236}">
              <a16:creationId xmlns:a16="http://schemas.microsoft.com/office/drawing/2014/main" id="{B399F966-59F8-481D-9C52-D1F1E31FB23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43" name="AutoShape 292" descr="mail?cmd=cookie">
          <a:extLst>
            <a:ext uri="{FF2B5EF4-FFF2-40B4-BE49-F238E27FC236}">
              <a16:creationId xmlns:a16="http://schemas.microsoft.com/office/drawing/2014/main" id="{4B998A2F-C987-4D70-A546-B2CBD740ED33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4" name="AutoShape 292" descr="mail?cmd=cookie">
          <a:extLst>
            <a:ext uri="{FF2B5EF4-FFF2-40B4-BE49-F238E27FC236}">
              <a16:creationId xmlns:a16="http://schemas.microsoft.com/office/drawing/2014/main" id="{CE9E0484-4816-4F34-AB7B-22A77F42323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5" name="AutoShape 292" descr="mail?cmd=cookie">
          <a:extLst>
            <a:ext uri="{FF2B5EF4-FFF2-40B4-BE49-F238E27FC236}">
              <a16:creationId xmlns:a16="http://schemas.microsoft.com/office/drawing/2014/main" id="{21832B0F-52F4-40F8-8B27-9CF6B5BF222E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6" name="AutoShape 292" descr="mail?cmd=cookie">
          <a:extLst>
            <a:ext uri="{FF2B5EF4-FFF2-40B4-BE49-F238E27FC236}">
              <a16:creationId xmlns:a16="http://schemas.microsoft.com/office/drawing/2014/main" id="{7DCA62BD-AFB9-487E-A5DB-36B8FEBE328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47" name="AutoShape 292" descr="mail?cmd=cookie">
          <a:extLst>
            <a:ext uri="{FF2B5EF4-FFF2-40B4-BE49-F238E27FC236}">
              <a16:creationId xmlns:a16="http://schemas.microsoft.com/office/drawing/2014/main" id="{F4EC5FB9-5815-42C4-80E2-436A2BC92DA1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48" name="AutoShape 292" descr="mail?cmd=cookie">
          <a:extLst>
            <a:ext uri="{FF2B5EF4-FFF2-40B4-BE49-F238E27FC236}">
              <a16:creationId xmlns:a16="http://schemas.microsoft.com/office/drawing/2014/main" id="{3BFA3D10-2B98-4E5B-8629-AA04E7EE8598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49" name="AutoShape 292" descr="mail?cmd=cookie">
          <a:extLst>
            <a:ext uri="{FF2B5EF4-FFF2-40B4-BE49-F238E27FC236}">
              <a16:creationId xmlns:a16="http://schemas.microsoft.com/office/drawing/2014/main" id="{8ABFE931-E806-401D-99D0-BD4DB68AEE56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50" name="AutoShape 292" descr="mail?cmd=cookie">
          <a:extLst>
            <a:ext uri="{FF2B5EF4-FFF2-40B4-BE49-F238E27FC236}">
              <a16:creationId xmlns:a16="http://schemas.microsoft.com/office/drawing/2014/main" id="{80D6A2FF-A71C-4AB4-AE40-687DCC1F8975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51" name="AutoShape 292" descr="mail?cmd=cookie">
          <a:extLst>
            <a:ext uri="{FF2B5EF4-FFF2-40B4-BE49-F238E27FC236}">
              <a16:creationId xmlns:a16="http://schemas.microsoft.com/office/drawing/2014/main" id="{B26EFEC8-FE4B-4653-BC3A-0C70C4B9513D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52" name="AutoShape 292" descr="mail?cmd=cookie">
          <a:extLst>
            <a:ext uri="{FF2B5EF4-FFF2-40B4-BE49-F238E27FC236}">
              <a16:creationId xmlns:a16="http://schemas.microsoft.com/office/drawing/2014/main" id="{956FA632-BB4E-4EBD-B1E4-BC567724705F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53" name="AutoShape 292" descr="mail?cmd=cookie">
          <a:extLst>
            <a:ext uri="{FF2B5EF4-FFF2-40B4-BE49-F238E27FC236}">
              <a16:creationId xmlns:a16="http://schemas.microsoft.com/office/drawing/2014/main" id="{74CB4582-17D3-4219-A88D-F3BE8A1AF145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54" name="AutoShape 292" descr="mail?cmd=cookie">
          <a:extLst>
            <a:ext uri="{FF2B5EF4-FFF2-40B4-BE49-F238E27FC236}">
              <a16:creationId xmlns:a16="http://schemas.microsoft.com/office/drawing/2014/main" id="{E2800820-D634-462C-8ED5-17ED46F7BBBB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733425"/>
    <xdr:sp macro="" textlink="">
      <xdr:nvSpPr>
        <xdr:cNvPr id="55" name="AutoShape 292" descr="mail?cmd=cookie">
          <a:extLst>
            <a:ext uri="{FF2B5EF4-FFF2-40B4-BE49-F238E27FC236}">
              <a16:creationId xmlns:a16="http://schemas.microsoft.com/office/drawing/2014/main" id="{2901E7B6-7AB6-4407-8DE3-67F2E1B9363C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56" name="AutoShape 292" descr="mail?cmd=cookie">
          <a:extLst>
            <a:ext uri="{FF2B5EF4-FFF2-40B4-BE49-F238E27FC236}">
              <a16:creationId xmlns:a16="http://schemas.microsoft.com/office/drawing/2014/main" id="{16CF8054-9CDD-4278-A9B3-81B353DAAF5E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</xdr:row>
      <xdr:rowOff>0</xdr:rowOff>
    </xdr:from>
    <xdr:ext cx="9525" cy="971550"/>
    <xdr:sp macro="" textlink="">
      <xdr:nvSpPr>
        <xdr:cNvPr id="57" name="AutoShape 292" descr="mail?cmd=cookie">
          <a:extLst>
            <a:ext uri="{FF2B5EF4-FFF2-40B4-BE49-F238E27FC236}">
              <a16:creationId xmlns:a16="http://schemas.microsoft.com/office/drawing/2014/main" id="{ED07A5B3-1328-4B2F-AA78-801BF0683289}"/>
            </a:ext>
          </a:extLst>
        </xdr:cNvPr>
        <xdr:cNvSpPr>
          <a:spLocks noChangeAspect="1" noChangeArrowheads="1"/>
        </xdr:cNvSpPr>
      </xdr:nvSpPr>
      <xdr:spPr bwMode="auto">
        <a:xfrm>
          <a:off x="114300" y="190500"/>
          <a:ext cx="95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shtetja%20e%20luftimit%204-mujori%20i%20Pa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SSB/Desktop/VITI%202025/MONITORIMI%20VITI%202025/Monitorimi%20viti%202025/okii%20%20Anekset-e-reja-12-Mujori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2.1"/>
      <sheetName val="3"/>
      <sheetName val="3.2"/>
      <sheetName val="3.1"/>
      <sheetName val="4"/>
    </sheetNames>
    <sheetDataSet>
      <sheetData sheetId="0">
        <row r="16">
          <cell r="E16">
            <v>3941500000</v>
          </cell>
          <cell r="J16">
            <v>1339938913</v>
          </cell>
        </row>
        <row r="17">
          <cell r="E17">
            <v>641300000</v>
          </cell>
          <cell r="J17">
            <v>226770233</v>
          </cell>
        </row>
        <row r="18">
          <cell r="E18">
            <v>3944551000</v>
          </cell>
          <cell r="J18">
            <v>810831620.27999997</v>
          </cell>
        </row>
        <row r="22">
          <cell r="E22">
            <v>363685000</v>
          </cell>
          <cell r="J22">
            <v>87900699</v>
          </cell>
        </row>
        <row r="25">
          <cell r="E25">
            <v>2265500000</v>
          </cell>
          <cell r="J25">
            <v>37980094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Aneksi nr.1"/>
      <sheetName val="Aneksi nr.1.1"/>
      <sheetName val="Aneksi 1.2"/>
      <sheetName val="Aneksi 2.0 Planif"/>
      <sheetName val="Aneksi 2.0 Forcat e Luftimit"/>
      <sheetName val="Aneksi 2.0 MBSHT.LUFTIMIT"/>
      <sheetName val="Aneksi 2.0 Mbësht .Shëndetësinë"/>
      <sheetName val="Aneksi 2.0 Arsimi Ushtarak"/>
      <sheetName val="Aneksi 2.0 Mbeshtet. Ushtaraket"/>
      <sheetName val="Aneksi 2.0 Emergjencat Civile"/>
      <sheetName val="Aneksi 2.1 Planif"/>
      <sheetName val="Aneksi 2.1 Forcat e Luftimit"/>
      <sheetName val="Aneksi 2.1 MBSHT.LUFTIMIT"/>
      <sheetName val="Aneksi 2.1 Mbësht .Shëndetësinë"/>
      <sheetName val="Aneksi 2.1 Arsimi Ushtarak"/>
      <sheetName val="Aneksi 2.1 Mbeshtet. Ushtaraket"/>
      <sheetName val="Aneksi 2.1 Emergjencat Civile"/>
      <sheetName val="Aneksi 3 Planif"/>
      <sheetName val="Aneksi 3 Forcat e Luftimit"/>
      <sheetName val="Aneksi 3 MBSHT.LUFTIMIT"/>
      <sheetName val="Aneksi 3 Mbeshtet. Shendetesine"/>
      <sheetName val="Aneksi 3 Arsimimi Ushtarak"/>
      <sheetName val="Aneksi 3 Mbeshtet. Ushtaraket"/>
      <sheetName val="Aneksi 3  Emergjencat Civile"/>
      <sheetName val=" Aneksi 3.1 PMA"/>
      <sheetName val="Aneksi 3.1 Forcat e Luftimit"/>
      <sheetName val="Aneksi 3.1 MBSHT.LUFTIMIT"/>
      <sheetName val="Anek 3.1 Mbeshtet. Shendetesine"/>
      <sheetName val="Aneksi 3.1 Arsimimi Ushtarak"/>
      <sheetName val="Aneksi 3.1 Mbeshtet. Ushtaraket"/>
      <sheetName val="Aneksi 3.1  Emergjencat Civile"/>
      <sheetName val="Sheet1"/>
      <sheetName val=" Aneksi 3.2 PMA"/>
      <sheetName val="Aneksi 3.2 Forcat e Luftimit"/>
      <sheetName val="Aneksi 3.2 MBSHT.LUFTIMIT"/>
      <sheetName val="Anek 3.2 Mbeshtet. Shendetesine"/>
      <sheetName val="Aneksi 3.2 Arsimimi Ushtarak"/>
      <sheetName val="Aneksi 3.2 Mbeshtet. Ushtaraket"/>
      <sheetName val="Aneksi 3.2  Emergjencat Civile"/>
      <sheetName val=" Aneksi 4 PMA"/>
      <sheetName val="Aneksi 4.0 Forcat e Luftimit"/>
      <sheetName val="Aneksi 4 MBSHT.LUFTIMIT"/>
      <sheetName val="Anek 4 Mbeshtet. Shendetesine"/>
      <sheetName val="Aneksi 4 Arsimimi Ushtarak"/>
      <sheetName val="Aneksi 4 Mbeshtet. Ushtaraket"/>
      <sheetName val="Aneksi 4 Emergjencat Civ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1">
          <cell r="F41">
            <v>32188000</v>
          </cell>
          <cell r="H41">
            <v>45188000</v>
          </cell>
          <cell r="K41">
            <v>45188000</v>
          </cell>
        </row>
        <row r="42">
          <cell r="H42">
            <v>357250</v>
          </cell>
          <cell r="K42">
            <v>357244</v>
          </cell>
        </row>
        <row r="43">
          <cell r="H43">
            <v>140400</v>
          </cell>
          <cell r="K43">
            <v>140400</v>
          </cell>
        </row>
        <row r="44">
          <cell r="H44">
            <v>600000</v>
          </cell>
          <cell r="K44">
            <v>600000</v>
          </cell>
        </row>
        <row r="45">
          <cell r="H45">
            <v>31382750</v>
          </cell>
          <cell r="K45">
            <v>31368052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3:I70"/>
  <sheetViews>
    <sheetView topLeftCell="A52" workbookViewId="0">
      <selection activeCell="D48" sqref="D48"/>
    </sheetView>
  </sheetViews>
  <sheetFormatPr defaultRowHeight="15"/>
  <cols>
    <col min="2" max="2" width="5.85546875" customWidth="1"/>
    <col min="3" max="3" width="31.5703125" style="72" customWidth="1"/>
    <col min="4" max="4" width="24.5703125" style="35" customWidth="1"/>
    <col min="5" max="5" width="19.5703125" style="35" customWidth="1"/>
    <col min="6" max="6" width="18.140625" style="35" customWidth="1"/>
    <col min="7" max="7" width="17.28515625" customWidth="1"/>
    <col min="8" max="8" width="18.140625" customWidth="1"/>
    <col min="9" max="9" width="19" customWidth="1"/>
  </cols>
  <sheetData>
    <row r="3" spans="1:6" ht="15.75" thickBot="1"/>
    <row r="4" spans="1:6" ht="18.75" thickBot="1">
      <c r="A4">
        <v>1</v>
      </c>
      <c r="B4" s="64" t="s">
        <v>321</v>
      </c>
      <c r="C4" s="73" t="s">
        <v>96</v>
      </c>
      <c r="D4" s="68" t="s">
        <v>322</v>
      </c>
      <c r="E4" s="68" t="s">
        <v>323</v>
      </c>
      <c r="F4" s="68" t="s">
        <v>324</v>
      </c>
    </row>
    <row r="5" spans="1:6" ht="15.75" thickBot="1">
      <c r="B5" s="65">
        <v>1</v>
      </c>
      <c r="C5" s="74" t="s">
        <v>28</v>
      </c>
      <c r="D5" s="69">
        <f>'Aneksi nr.1'!I12</f>
        <v>1516200000</v>
      </c>
      <c r="E5" s="69">
        <f>'Aneksi nr.1'!L12</f>
        <v>567801454</v>
      </c>
      <c r="F5" s="70">
        <v>94</v>
      </c>
    </row>
    <row r="6" spans="1:6" ht="19.5" customHeight="1" thickBot="1">
      <c r="B6" s="65">
        <v>2</v>
      </c>
      <c r="C6" s="74" t="s">
        <v>148</v>
      </c>
      <c r="D6" s="69">
        <f>'Aneksi nr.1'!I13</f>
        <v>31391874000</v>
      </c>
      <c r="E6" s="69">
        <f>'Aneksi nr.1'!L13</f>
        <v>7026304233</v>
      </c>
      <c r="F6" s="70">
        <v>95</v>
      </c>
    </row>
    <row r="7" spans="1:6" ht="15.75" thickBot="1">
      <c r="B7" s="65">
        <v>3</v>
      </c>
      <c r="C7" s="74" t="s">
        <v>150</v>
      </c>
      <c r="D7" s="69">
        <f>'Aneksi nr.1'!I14</f>
        <v>11156536000</v>
      </c>
      <c r="E7" s="69">
        <f>'Aneksi nr.1'!L14</f>
        <v>2503421559</v>
      </c>
      <c r="F7" s="70">
        <v>96</v>
      </c>
    </row>
    <row r="8" spans="1:6" ht="15.75" thickBot="1">
      <c r="B8" s="65">
        <v>4</v>
      </c>
      <c r="C8" s="74" t="s">
        <v>152</v>
      </c>
      <c r="D8" s="69">
        <f>'Aneksi nr.1'!I15</f>
        <v>2134800000</v>
      </c>
      <c r="E8" s="69">
        <f>'Aneksi nr.1'!L15</f>
        <v>454499203</v>
      </c>
      <c r="F8" s="70">
        <v>97</v>
      </c>
    </row>
    <row r="9" spans="1:6" ht="15.75" thickBot="1">
      <c r="B9" s="65">
        <v>5</v>
      </c>
      <c r="C9" s="74" t="s">
        <v>325</v>
      </c>
      <c r="D9" s="69">
        <f>'Aneksi nr.1'!I16</f>
        <v>1757900000</v>
      </c>
      <c r="E9" s="69">
        <f>'Aneksi nr.1'!L16</f>
        <v>248866549</v>
      </c>
      <c r="F9" s="70">
        <v>98</v>
      </c>
    </row>
    <row r="10" spans="1:6" ht="15.75" thickBot="1">
      <c r="B10" s="65">
        <v>6</v>
      </c>
      <c r="C10" s="74" t="s">
        <v>156</v>
      </c>
      <c r="D10" s="69">
        <f>'Aneksi nr.1'!I17</f>
        <v>5200000000</v>
      </c>
      <c r="E10" s="69">
        <f>'Aneksi nr.1'!L17</f>
        <v>2000000000</v>
      </c>
      <c r="F10" s="70">
        <v>99</v>
      </c>
    </row>
    <row r="11" spans="1:6" ht="15.75" thickBot="1">
      <c r="B11" s="65">
        <v>7</v>
      </c>
      <c r="C11" s="74" t="s">
        <v>158</v>
      </c>
      <c r="D11" s="69">
        <f>'Aneksi nr.1'!I18</f>
        <v>5791250000</v>
      </c>
      <c r="E11" s="69">
        <f>'Aneksi nr.1'!L18</f>
        <v>145924886</v>
      </c>
      <c r="F11" s="70">
        <v>100</v>
      </c>
    </row>
    <row r="12" spans="1:6" ht="15.75" thickBot="1">
      <c r="B12" s="67"/>
      <c r="C12" s="75" t="s">
        <v>326</v>
      </c>
      <c r="D12" s="71">
        <f>'Aneksi nr.1'!I19</f>
        <v>58948560000</v>
      </c>
      <c r="E12" s="71">
        <f>'Aneksi nr.1'!L19</f>
        <v>12946817884</v>
      </c>
      <c r="F12" s="71">
        <f>'Aneksi nr.1'!O19</f>
        <v>21.962907803006555</v>
      </c>
    </row>
    <row r="14" spans="1:6" ht="15.75" thickBot="1"/>
    <row r="15" spans="1:6" ht="39" thickBot="1">
      <c r="A15">
        <v>2</v>
      </c>
      <c r="B15" s="123" t="s">
        <v>321</v>
      </c>
      <c r="C15" s="124" t="s">
        <v>345</v>
      </c>
      <c r="D15" s="124" t="s">
        <v>346</v>
      </c>
      <c r="E15" s="124" t="s">
        <v>347</v>
      </c>
      <c r="F15" s="124" t="s">
        <v>348</v>
      </c>
    </row>
    <row r="16" spans="1:6" ht="15.75" thickBot="1">
      <c r="B16" s="125">
        <v>1</v>
      </c>
      <c r="C16" s="66" t="s">
        <v>28</v>
      </c>
      <c r="D16" s="69">
        <v>98.927830260151865</v>
      </c>
      <c r="E16" s="135">
        <v>99.9802958709395</v>
      </c>
      <c r="F16" s="69">
        <v>98.976663731206429</v>
      </c>
    </row>
    <row r="17" spans="1:6" ht="15.75" thickBot="1">
      <c r="B17" s="125">
        <v>2</v>
      </c>
      <c r="C17" s="66" t="s">
        <v>148</v>
      </c>
      <c r="D17" s="69">
        <f>'Aneksi 2.0 Forcat e Luftimit'!N22</f>
        <v>33.212099781570572</v>
      </c>
      <c r="E17" s="135">
        <f>'Aneksi 2.0 Forcat e Luftimit'!N25</f>
        <v>35.592015298034987</v>
      </c>
      <c r="F17" s="69">
        <f>'Aneksi 2.0 Forcat e Luftimit'!N30</f>
        <v>22.382557451014236</v>
      </c>
    </row>
    <row r="18" spans="1:6" ht="15.75" thickBot="1">
      <c r="B18" s="125">
        <v>3</v>
      </c>
      <c r="C18" s="66" t="s">
        <v>150</v>
      </c>
      <c r="D18" s="69">
        <f>'123'!N22</f>
        <v>98.68395971498262</v>
      </c>
      <c r="E18" s="135">
        <f>'123'!N25</f>
        <v>89.305463833156082</v>
      </c>
      <c r="F18" s="69">
        <f>'123'!N30</f>
        <v>96.505416825928521</v>
      </c>
    </row>
    <row r="19" spans="1:6" ht="15.75" thickBot="1">
      <c r="B19" s="125">
        <v>4</v>
      </c>
      <c r="C19" s="66" t="s">
        <v>152</v>
      </c>
      <c r="D19" s="69">
        <f>'Aneksi 2.0 Mbësht .Shëndetësinë'!N22</f>
        <v>27.651274957181304</v>
      </c>
      <c r="E19" s="135">
        <f>'Aneksi 2.0 Mbësht .Shëndetësinë'!N25</f>
        <v>0.49123200000000006</v>
      </c>
      <c r="F19" s="69">
        <f>'Aneksi 2.0 Mbësht .Shëndetësinë'!N30</f>
        <v>21.290013256511148</v>
      </c>
    </row>
    <row r="20" spans="1:6" ht="15.75" thickBot="1">
      <c r="B20" s="125">
        <v>5</v>
      </c>
      <c r="C20" s="66" t="s">
        <v>325</v>
      </c>
      <c r="D20" s="69">
        <f>'Aneksi 2.0 Arsimi Ushtarak'!N22</f>
        <v>26.265631368631372</v>
      </c>
      <c r="E20" s="135">
        <f>'Aneksi 2.0 Arsimi Ushtarak'!N25</f>
        <v>1.4281768961493584</v>
      </c>
      <c r="F20" s="69" t="e">
        <f>'Aneksi 2.0 Arsimi Ushtarak'!#REF!</f>
        <v>#REF!</v>
      </c>
    </row>
    <row r="21" spans="1:6" ht="15.75" thickBot="1">
      <c r="B21" s="125">
        <v>6</v>
      </c>
      <c r="C21" s="66" t="s">
        <v>156</v>
      </c>
      <c r="D21" s="69">
        <f>'Aneksi 2.0 Mbeshtet. Ushtaraket'!N22</f>
        <v>0</v>
      </c>
      <c r="E21" s="135">
        <v>0</v>
      </c>
      <c r="F21" s="69">
        <f>'Aneksi 2.0 Mbeshtet. Ushtaraket'!N32</f>
        <v>0</v>
      </c>
    </row>
    <row r="22" spans="1:6" ht="15.75" thickBot="1">
      <c r="B22" s="125">
        <v>7</v>
      </c>
      <c r="C22" s="66" t="s">
        <v>158</v>
      </c>
      <c r="D22" s="136">
        <f>'Aneksi 2.0 Emergjencat Civile'!N22</f>
        <v>8.7582219663278273</v>
      </c>
      <c r="E22" s="135">
        <f>'Aneksi 2.0 Emergjencat Civile'!N25</f>
        <v>0.72918388888888885</v>
      </c>
      <c r="F22" s="69">
        <v>80.400000000000006</v>
      </c>
    </row>
    <row r="23" spans="1:6" ht="15.75" thickBot="1">
      <c r="B23" s="126"/>
      <c r="C23" s="127" t="s">
        <v>349</v>
      </c>
      <c r="D23" s="137">
        <v>99</v>
      </c>
      <c r="E23" s="137">
        <v>90</v>
      </c>
      <c r="F23" s="137">
        <v>96</v>
      </c>
    </row>
    <row r="24" spans="1:6">
      <c r="C24"/>
      <c r="D24"/>
      <c r="E24"/>
      <c r="F24"/>
    </row>
    <row r="25" spans="1:6" ht="15.75" thickBot="1"/>
    <row r="26" spans="1:6" ht="30">
      <c r="A26">
        <v>3</v>
      </c>
      <c r="B26" s="1189" t="s">
        <v>321</v>
      </c>
      <c r="C26" s="1191" t="s">
        <v>350</v>
      </c>
      <c r="D26" s="1191" t="s">
        <v>351</v>
      </c>
      <c r="E26" s="131" t="s">
        <v>352</v>
      </c>
      <c r="F26" s="1193" t="s">
        <v>354</v>
      </c>
    </row>
    <row r="27" spans="1:6" ht="15.75" thickBot="1">
      <c r="B27" s="1190"/>
      <c r="C27" s="1192"/>
      <c r="D27" s="1192"/>
      <c r="E27" s="132" t="s">
        <v>353</v>
      </c>
      <c r="F27" s="1194"/>
    </row>
    <row r="28" spans="1:6" ht="15.75" thickBot="1">
      <c r="B28" s="133">
        <v>1</v>
      </c>
      <c r="C28" s="134" t="s">
        <v>28</v>
      </c>
      <c r="D28" s="138">
        <f>'Aneksi nr.1'!H12</f>
        <v>2.5720730073813507</v>
      </c>
      <c r="E28" s="143">
        <f>'Aneksi nr.1'!M12</f>
        <v>4.385644867235702</v>
      </c>
      <c r="F28" s="142">
        <f>E28-D28</f>
        <v>1.8135718598543513</v>
      </c>
    </row>
    <row r="29" spans="1:6" ht="15.75" thickBot="1">
      <c r="B29" s="133">
        <v>2</v>
      </c>
      <c r="C29" s="134" t="s">
        <v>148</v>
      </c>
      <c r="D29" s="138">
        <f>'Aneksi nr.1'!H13</f>
        <v>53.252995493019675</v>
      </c>
      <c r="E29" s="143">
        <f>'Aneksi nr.1'!M13</f>
        <v>54.270511070394235</v>
      </c>
      <c r="F29" s="142">
        <f t="shared" ref="F29:F34" si="0">E29-D29</f>
        <v>1.0175155773745601</v>
      </c>
    </row>
    <row r="30" spans="1:6" ht="15.75" thickBot="1">
      <c r="B30" s="133">
        <v>3</v>
      </c>
      <c r="C30" s="134" t="s">
        <v>150</v>
      </c>
      <c r="D30" s="138">
        <f>'Aneksi nr.1'!H14</f>
        <v>18.925883855347781</v>
      </c>
      <c r="E30" s="143">
        <f>'Aneksi nr.1'!M14</f>
        <v>19.336191961839447</v>
      </c>
      <c r="F30" s="142">
        <f t="shared" si="0"/>
        <v>0.41030810649166582</v>
      </c>
    </row>
    <row r="31" spans="1:6" ht="15.75" thickBot="1">
      <c r="B31" s="133">
        <v>4</v>
      </c>
      <c r="C31" s="134" t="s">
        <v>152</v>
      </c>
      <c r="D31" s="138">
        <f>'Aneksi nr.1'!H15</f>
        <v>3.6214625090078534</v>
      </c>
      <c r="E31" s="143">
        <f>'Aneksi nr.1'!M15</f>
        <v>3.5105089688616182</v>
      </c>
      <c r="F31" s="142">
        <f t="shared" si="0"/>
        <v>-0.11095354014623515</v>
      </c>
    </row>
    <row r="32" spans="1:6" ht="15.75" thickBot="1">
      <c r="B32" s="133">
        <v>5</v>
      </c>
      <c r="C32" s="134" t="s">
        <v>325</v>
      </c>
      <c r="D32" s="138">
        <f>'Aneksi nr.1'!H16</f>
        <v>2.9820915048645804</v>
      </c>
      <c r="E32" s="143">
        <f>'Aneksi nr.1'!M16</f>
        <v>1.9222217476894881</v>
      </c>
      <c r="F32" s="142">
        <f t="shared" si="0"/>
        <v>-1.0598697571750924</v>
      </c>
    </row>
    <row r="33" spans="1:9" ht="15.75" thickBot="1">
      <c r="B33" s="133">
        <v>6</v>
      </c>
      <c r="C33" s="134" t="s">
        <v>156</v>
      </c>
      <c r="D33" s="138">
        <f>'Aneksi nr.1'!H17</f>
        <v>8.821250256155535</v>
      </c>
      <c r="E33" s="143">
        <f>'Aneksi nr.1'!M17</f>
        <v>15.447811330316538</v>
      </c>
      <c r="F33" s="142">
        <f t="shared" si="0"/>
        <v>6.6265610741610033</v>
      </c>
    </row>
    <row r="34" spans="1:9" ht="15.75" thickBot="1">
      <c r="B34" s="133">
        <v>7</v>
      </c>
      <c r="C34" s="134" t="s">
        <v>158</v>
      </c>
      <c r="D34" s="138">
        <f>'Aneksi nr.1'!H18</f>
        <v>9.8242433742232205</v>
      </c>
      <c r="E34" s="143">
        <f>'Aneksi nr.1'!M18</f>
        <v>1.1271100536629746</v>
      </c>
      <c r="F34" s="142">
        <f t="shared" si="0"/>
        <v>-8.6971333205602459</v>
      </c>
    </row>
    <row r="35" spans="1:9">
      <c r="B35" s="139"/>
      <c r="C35" s="140" t="s">
        <v>326</v>
      </c>
      <c r="D35" s="141">
        <f>SUM(D28:D34)</f>
        <v>100</v>
      </c>
      <c r="E35" s="144">
        <f>SUM(E28:E34)</f>
        <v>100.00000000000001</v>
      </c>
      <c r="F35" s="46"/>
    </row>
    <row r="37" spans="1:9" ht="15.75" thickBot="1"/>
    <row r="38" spans="1:9" ht="18.75" thickBot="1">
      <c r="A38">
        <v>4</v>
      </c>
      <c r="B38" s="145" t="s">
        <v>355</v>
      </c>
      <c r="C38" s="146" t="s">
        <v>356</v>
      </c>
      <c r="D38" s="146" t="s">
        <v>357</v>
      </c>
      <c r="E38" s="146" t="s">
        <v>358</v>
      </c>
      <c r="F38" s="146" t="s">
        <v>359</v>
      </c>
      <c r="G38" s="147" t="s">
        <v>358</v>
      </c>
      <c r="H38" s="146" t="s">
        <v>360</v>
      </c>
      <c r="I38" s="146" t="s">
        <v>360</v>
      </c>
    </row>
    <row r="39" spans="1:9" ht="15.75" thickBot="1">
      <c r="B39" s="148">
        <v>1</v>
      </c>
      <c r="C39" s="149" t="str">
        <f>'Aneksi nr.1'!D12</f>
        <v>Planifikimi, Menaxhimi dhe Administrimi</v>
      </c>
      <c r="D39" s="150">
        <f>'Aneksi nr.1'!I12/1000</f>
        <v>1516200</v>
      </c>
      <c r="E39" s="154">
        <f>'Aneksi nr.1'!J12</f>
        <v>2.5720730073813507</v>
      </c>
      <c r="F39" s="150">
        <f>'Aneksi nr.1'!L12/1000</f>
        <v>567801.45400000003</v>
      </c>
      <c r="G39" s="150">
        <f>'Aneksi nr.1'!M12</f>
        <v>4.385644867235702</v>
      </c>
      <c r="H39" s="150">
        <f>I39</f>
        <v>37.44898126896188</v>
      </c>
      <c r="I39" s="150">
        <f>'Aneksi nr.1'!O12</f>
        <v>37.44898126896188</v>
      </c>
    </row>
    <row r="40" spans="1:9" ht="15.75" thickBot="1">
      <c r="B40" s="148">
        <v>2</v>
      </c>
      <c r="C40" s="149" t="str">
        <f>'Aneksi nr.1'!D13</f>
        <v>Forcat e Luftimit</v>
      </c>
      <c r="D40" s="150">
        <f>'Aneksi nr.1'!I13/1000</f>
        <v>31391874</v>
      </c>
      <c r="E40" s="154">
        <f>'Aneksi nr.1'!J13</f>
        <v>53.252995493019675</v>
      </c>
      <c r="F40" s="150">
        <f>'Aneksi nr.1'!L13/1000</f>
        <v>7026304.233</v>
      </c>
      <c r="G40" s="150">
        <f>'Aneksi nr.1'!M13</f>
        <v>54.270511070394235</v>
      </c>
      <c r="H40" s="150">
        <v>96</v>
      </c>
      <c r="I40" s="150">
        <f>'Aneksi nr.1'!O13</f>
        <v>22.382557451014236</v>
      </c>
    </row>
    <row r="41" spans="1:9" ht="15.75" thickBot="1">
      <c r="B41" s="148">
        <v>3</v>
      </c>
      <c r="C41" s="149" t="str">
        <f>'Aneksi nr.1'!D14</f>
        <v>Mbështetja e Luftimit</v>
      </c>
      <c r="D41" s="150">
        <f>'Aneksi nr.1'!I14/1000</f>
        <v>11156536</v>
      </c>
      <c r="E41" s="154">
        <f>'Aneksi nr.1'!J14</f>
        <v>18.925883855347781</v>
      </c>
      <c r="F41" s="150">
        <f>'Aneksi nr.1'!L14/1000</f>
        <v>2503421.5589999999</v>
      </c>
      <c r="G41" s="150">
        <f>'Aneksi nr.1'!M14</f>
        <v>19.336191961839447</v>
      </c>
      <c r="H41" s="150">
        <f>I41</f>
        <v>22.439057777431991</v>
      </c>
      <c r="I41" s="150">
        <f>'Aneksi nr.1'!O14</f>
        <v>22.439057777431991</v>
      </c>
    </row>
    <row r="42" spans="1:9" ht="15.75" thickBot="1">
      <c r="B42" s="148">
        <v>4</v>
      </c>
      <c r="C42" s="149" t="str">
        <f>'Aneksi nr.1'!D15</f>
        <v>Mbështetja për Shëndetësinë</v>
      </c>
      <c r="D42" s="150">
        <f>'Aneksi nr.1'!I15/1000</f>
        <v>2134800</v>
      </c>
      <c r="E42" s="154">
        <f>'Aneksi nr.1'!J15</f>
        <v>3.6214625090078534</v>
      </c>
      <c r="F42" s="150">
        <f>'Aneksi nr.1'!L15/1000</f>
        <v>454499.20299999998</v>
      </c>
      <c r="G42" s="150">
        <f>'Aneksi nr.1'!M15</f>
        <v>3.5105089688616182</v>
      </c>
      <c r="H42" s="150">
        <f>I42</f>
        <v>21.290013256511148</v>
      </c>
      <c r="I42" s="150">
        <f>'Aneksi nr.1'!O15</f>
        <v>21.290013256511148</v>
      </c>
    </row>
    <row r="43" spans="1:9" ht="15.75" thickBot="1">
      <c r="B43" s="148">
        <v>5</v>
      </c>
      <c r="C43" s="149" t="str">
        <f>'Aneksi nr.1'!D16</f>
        <v>Arsimi Ushtarak</v>
      </c>
      <c r="D43" s="150">
        <f>'Aneksi nr.1'!I16/1000</f>
        <v>1757900</v>
      </c>
      <c r="E43" s="154">
        <f>'Aneksi nr.1'!J16</f>
        <v>2.9820915048645804</v>
      </c>
      <c r="F43" s="150">
        <f>'Aneksi nr.1'!L16/1000</f>
        <v>248866.549</v>
      </c>
      <c r="G43" s="150">
        <f>'Aneksi nr.1'!M16</f>
        <v>1.9222217476894881</v>
      </c>
      <c r="H43" s="150">
        <f>I43</f>
        <v>14.157036748392967</v>
      </c>
      <c r="I43" s="150">
        <f>'Aneksi nr.1'!O16</f>
        <v>14.157036748392967</v>
      </c>
    </row>
    <row r="44" spans="1:9" ht="15.75" thickBot="1">
      <c r="B44" s="148">
        <v>6</v>
      </c>
      <c r="C44" s="149" t="str">
        <f>'Aneksi nr.1'!D17</f>
        <v>Mbështetje për Ushtarakët</v>
      </c>
      <c r="D44" s="150">
        <f>'Aneksi nr.1'!I17/1000</f>
        <v>5200000</v>
      </c>
      <c r="E44" s="154">
        <f>'Aneksi nr.1'!J17</f>
        <v>8.821250256155535</v>
      </c>
      <c r="F44" s="150">
        <f>'Aneksi nr.1'!L17/1000</f>
        <v>2000000</v>
      </c>
      <c r="G44" s="150">
        <f>'Aneksi nr.1'!M17</f>
        <v>15.447811330316538</v>
      </c>
      <c r="H44" s="150">
        <f>I44</f>
        <v>38.461538461538467</v>
      </c>
      <c r="I44" s="150">
        <f>'Aneksi nr.1'!O17</f>
        <v>38.461538461538467</v>
      </c>
    </row>
    <row r="45" spans="1:9" ht="15.75" thickBot="1">
      <c r="B45" s="148">
        <v>7</v>
      </c>
      <c r="C45" s="149" t="str">
        <f>'Aneksi nr.1'!D18</f>
        <v xml:space="preserve">Emergjencat Civile </v>
      </c>
      <c r="D45" s="150">
        <f>'Aneksi nr.1'!I18/1000</f>
        <v>5791250</v>
      </c>
      <c r="E45" s="154">
        <f>'Aneksi nr.1'!J18</f>
        <v>9.8242433742232205</v>
      </c>
      <c r="F45" s="150">
        <f>'Aneksi nr.1'!L18/1000</f>
        <v>145924.886</v>
      </c>
      <c r="G45" s="150">
        <f>'Aneksi nr.1'!M18</f>
        <v>1.1271100536629746</v>
      </c>
      <c r="H45" s="150" t="e">
        <f>'Aneksi 2.0 Emergjencat Civile'!#REF!</f>
        <v>#REF!</v>
      </c>
      <c r="I45" s="150">
        <f>'Aneksi nr.1'!O18</f>
        <v>2.5197476537880426</v>
      </c>
    </row>
    <row r="46" spans="1:9" ht="15.75" thickBot="1">
      <c r="B46" s="151"/>
      <c r="C46" s="152" t="s">
        <v>361</v>
      </c>
      <c r="D46" s="153">
        <f>'Aneksi nr.1'!I19/1000</f>
        <v>58948560</v>
      </c>
      <c r="E46" s="152">
        <f>'Aneksi nr.1'!J19</f>
        <v>100</v>
      </c>
      <c r="F46" s="153">
        <f>'Aneksi nr.1'!L19/1000</f>
        <v>12946817.884</v>
      </c>
      <c r="G46" s="152">
        <f>'Aneksi nr.1'!M19</f>
        <v>100</v>
      </c>
      <c r="H46" s="155">
        <v>96</v>
      </c>
      <c r="I46" s="155">
        <f>'Aneksi nr.1'!O19</f>
        <v>21.962907803006555</v>
      </c>
    </row>
    <row r="48" spans="1:9" ht="15.75" thickBot="1"/>
    <row r="49" spans="1:9" ht="18.75" thickBot="1">
      <c r="A49">
        <v>5</v>
      </c>
      <c r="B49" s="145" t="s">
        <v>321</v>
      </c>
      <c r="C49" s="146" t="s">
        <v>96</v>
      </c>
      <c r="D49" s="146" t="s">
        <v>81</v>
      </c>
      <c r="E49" s="146" t="s">
        <v>82</v>
      </c>
      <c r="F49" s="146" t="s">
        <v>120</v>
      </c>
    </row>
    <row r="50" spans="1:9" ht="15.75" thickBot="1">
      <c r="B50" s="148">
        <v>1</v>
      </c>
      <c r="C50" s="149" t="str">
        <f>'Aneksi nr.1'!D12</f>
        <v>Planifikimi, Menaxhimi dhe Administrimi</v>
      </c>
      <c r="D50" s="150">
        <f>'Aneksi nr.1'!G12/1000</f>
        <v>1516200</v>
      </c>
      <c r="E50" s="154">
        <f>'Aneksi nr.1'!I12/1000</f>
        <v>1516200</v>
      </c>
      <c r="F50" s="150">
        <f>'Aneksi nr.1'!K12/1000</f>
        <v>0</v>
      </c>
    </row>
    <row r="51" spans="1:9" ht="15.75" thickBot="1">
      <c r="B51" s="148">
        <v>2</v>
      </c>
      <c r="C51" s="149" t="str">
        <f>'Aneksi nr.1'!D13</f>
        <v>Forcat e Luftimit</v>
      </c>
      <c r="D51" s="150">
        <f>'Aneksi nr.1'!G13/1000</f>
        <v>31391874</v>
      </c>
      <c r="E51" s="154">
        <f>('Aneksi 2.0 Forcat e Luftimit'!H22+'Aneksi 2.0 Forcat e Luftimit'!H25)/1000</f>
        <v>20391874</v>
      </c>
      <c r="F51" s="150">
        <f>('Aneksi 2.0 Forcat e Luftimit'!J22+'Aneksi 2.0 Forcat e Luftimit'!J25)/1000</f>
        <v>17381334.539130002</v>
      </c>
      <c r="G51" s="63">
        <f>D51-E51</f>
        <v>11000000</v>
      </c>
      <c r="H51" s="63">
        <f>D51-E51</f>
        <v>11000000</v>
      </c>
      <c r="I51" s="63"/>
    </row>
    <row r="52" spans="1:9" ht="15.75" thickBot="1">
      <c r="B52" s="148">
        <v>3</v>
      </c>
      <c r="C52" s="149" t="str">
        <f>'Aneksi nr.1'!D14</f>
        <v>Mbështetja e Luftimit</v>
      </c>
      <c r="D52" s="150">
        <f>'Aneksi nr.1'!G14/1000</f>
        <v>11156536</v>
      </c>
      <c r="E52" s="154">
        <f>'Aneksi nr.1'!I14/1000</f>
        <v>11156536</v>
      </c>
      <c r="F52" s="150">
        <f>'Aneksi nr.1'!K14/1000</f>
        <v>0</v>
      </c>
    </row>
    <row r="53" spans="1:9" ht="15.75" thickBot="1">
      <c r="B53" s="148">
        <v>4</v>
      </c>
      <c r="C53" s="149" t="str">
        <f>'Aneksi nr.1'!D15</f>
        <v>Mbështetja për Shëndetësinë</v>
      </c>
      <c r="D53" s="150">
        <f>'Aneksi nr.1'!G15/1000</f>
        <v>2134800</v>
      </c>
      <c r="E53" s="154">
        <f>'Aneksi nr.1'!I15/1000</f>
        <v>2134800</v>
      </c>
      <c r="F53" s="150">
        <f>'Aneksi nr.1'!K15/1000</f>
        <v>0</v>
      </c>
    </row>
    <row r="54" spans="1:9" ht="15.75" thickBot="1">
      <c r="B54" s="148">
        <v>5</v>
      </c>
      <c r="C54" s="149" t="str">
        <f>'Aneksi nr.1'!D16</f>
        <v>Arsimi Ushtarak</v>
      </c>
      <c r="D54" s="150">
        <f>'Aneksi nr.1'!G16/1000</f>
        <v>1757900</v>
      </c>
      <c r="E54" s="154">
        <f>'Aneksi nr.1'!I16/1000</f>
        <v>1757900</v>
      </c>
      <c r="F54" s="150">
        <f>'Aneksi nr.1'!K16/1000</f>
        <v>0</v>
      </c>
    </row>
    <row r="55" spans="1:9" ht="15.75" thickBot="1">
      <c r="B55" s="148">
        <v>6</v>
      </c>
      <c r="C55" s="149" t="str">
        <f>'Aneksi nr.1'!D17</f>
        <v>Mbështetje për Ushtarakët</v>
      </c>
      <c r="D55" s="150">
        <f>'Aneksi nr.1'!G17/1000</f>
        <v>5200000</v>
      </c>
      <c r="E55" s="154">
        <f>'Aneksi nr.1'!I17/1000</f>
        <v>5200000</v>
      </c>
      <c r="F55" s="150">
        <f>'Aneksi nr.1'!K17/1000</f>
        <v>0</v>
      </c>
    </row>
    <row r="56" spans="1:9" ht="15.75" thickBot="1">
      <c r="B56" s="148">
        <v>7</v>
      </c>
      <c r="C56" s="149" t="str">
        <f>'Aneksi nr.1'!D18</f>
        <v xml:space="preserve">Emergjencat Civile </v>
      </c>
      <c r="D56" s="150">
        <f>'Aneksi nr.1'!G18/1000</f>
        <v>5791250</v>
      </c>
      <c r="E56" s="154">
        <f>'Aneksi nr.1'!I18/1000</f>
        <v>5791250</v>
      </c>
      <c r="F56" s="150">
        <f>'Aneksi nr.1'!K18/1000</f>
        <v>0</v>
      </c>
    </row>
    <row r="57" spans="1:9" ht="15.75" thickBot="1">
      <c r="B57" s="151"/>
      <c r="C57" s="152" t="s">
        <v>362</v>
      </c>
      <c r="D57" s="207">
        <f>SUM(D50:D56)</f>
        <v>58948560</v>
      </c>
      <c r="E57" s="207">
        <f>SUM(E50:E56)</f>
        <v>47948560</v>
      </c>
      <c r="F57" s="207">
        <f>SUM(F50:F56)</f>
        <v>17381334.539130002</v>
      </c>
    </row>
    <row r="60" spans="1:9" ht="15.75" thickBot="1"/>
    <row r="61" spans="1:9" ht="24" customHeight="1" thickBot="1">
      <c r="B61" s="197" t="s">
        <v>186</v>
      </c>
      <c r="C61" s="1184" t="s">
        <v>475</v>
      </c>
      <c r="D61" s="1186" t="s">
        <v>476</v>
      </c>
      <c r="E61" s="1187"/>
      <c r="F61" s="1187"/>
      <c r="G61" s="1188"/>
    </row>
    <row r="62" spans="1:9" ht="24" customHeight="1" thickBot="1">
      <c r="B62" s="196"/>
      <c r="C62" s="1185"/>
      <c r="D62" s="198" t="s">
        <v>487</v>
      </c>
      <c r="E62" s="198" t="s">
        <v>488</v>
      </c>
      <c r="F62" s="198" t="s">
        <v>477</v>
      </c>
      <c r="G62" s="146" t="s">
        <v>360</v>
      </c>
    </row>
    <row r="63" spans="1:9" ht="15.75" thickBot="1">
      <c r="B63" s="203">
        <v>1</v>
      </c>
      <c r="C63" s="66" t="s">
        <v>28</v>
      </c>
      <c r="D63" s="204">
        <v>6</v>
      </c>
      <c r="E63" s="204">
        <v>5</v>
      </c>
      <c r="F63" s="204" t="s">
        <v>478</v>
      </c>
      <c r="G63" s="205">
        <v>1</v>
      </c>
    </row>
    <row r="64" spans="1:9" ht="15.75" thickBot="1">
      <c r="B64" s="203">
        <v>2</v>
      </c>
      <c r="C64" s="66" t="s">
        <v>148</v>
      </c>
      <c r="D64" s="204">
        <v>22</v>
      </c>
      <c r="E64" s="204">
        <v>18</v>
      </c>
      <c r="F64" s="204" t="s">
        <v>479</v>
      </c>
      <c r="G64" s="205">
        <v>0.93</v>
      </c>
    </row>
    <row r="65" spans="2:7" ht="15.75" thickBot="1">
      <c r="B65" s="203">
        <v>3</v>
      </c>
      <c r="C65" s="66" t="s">
        <v>150</v>
      </c>
      <c r="D65" s="204">
        <v>35</v>
      </c>
      <c r="E65" s="204">
        <v>23</v>
      </c>
      <c r="F65" s="204" t="s">
        <v>480</v>
      </c>
      <c r="G65" s="205">
        <v>0.89</v>
      </c>
    </row>
    <row r="66" spans="2:7" ht="15.75" thickBot="1">
      <c r="B66" s="203">
        <v>4</v>
      </c>
      <c r="C66" s="66" t="s">
        <v>152</v>
      </c>
      <c r="D66" s="204">
        <v>2</v>
      </c>
      <c r="E66" s="204">
        <v>2</v>
      </c>
      <c r="F66" s="204" t="s">
        <v>481</v>
      </c>
      <c r="G66" s="205">
        <v>0.98</v>
      </c>
    </row>
    <row r="67" spans="2:7" ht="15.75" thickBot="1">
      <c r="B67" s="203">
        <v>5</v>
      </c>
      <c r="C67" s="66" t="s">
        <v>154</v>
      </c>
      <c r="D67" s="204">
        <v>7</v>
      </c>
      <c r="E67" s="204">
        <v>5</v>
      </c>
      <c r="F67" s="204" t="s">
        <v>482</v>
      </c>
      <c r="G67" s="205">
        <v>0.86</v>
      </c>
    </row>
    <row r="68" spans="2:7" ht="15.75" thickBot="1">
      <c r="B68" s="203">
        <v>6</v>
      </c>
      <c r="C68" s="66" t="s">
        <v>483</v>
      </c>
      <c r="D68" s="204">
        <v>22</v>
      </c>
      <c r="E68" s="204">
        <v>18</v>
      </c>
      <c r="F68" s="204" t="s">
        <v>484</v>
      </c>
      <c r="G68" s="205">
        <v>0.73</v>
      </c>
    </row>
    <row r="69" spans="2:7" ht="22.5" customHeight="1" thickBot="1">
      <c r="B69" s="199"/>
      <c r="C69" s="200" t="s">
        <v>485</v>
      </c>
      <c r="D69" s="201">
        <v>94</v>
      </c>
      <c r="E69" s="200">
        <v>71</v>
      </c>
      <c r="F69" s="201" t="s">
        <v>486</v>
      </c>
      <c r="G69" s="202">
        <v>0.9</v>
      </c>
    </row>
    <row r="70" spans="2:7" ht="22.5" customHeight="1"/>
  </sheetData>
  <mergeCells count="6">
    <mergeCell ref="C61:C62"/>
    <mergeCell ref="D61:G61"/>
    <mergeCell ref="B26:B27"/>
    <mergeCell ref="C26:C27"/>
    <mergeCell ref="D26:D27"/>
    <mergeCell ref="F26:F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7"/>
  <sheetViews>
    <sheetView topLeftCell="A84" workbookViewId="0">
      <selection activeCell="A109" sqref="A109"/>
    </sheetView>
  </sheetViews>
  <sheetFormatPr defaultRowHeight="15"/>
  <cols>
    <col min="1" max="1" width="14" customWidth="1"/>
    <col min="3" max="3" width="15.42578125" style="41" bestFit="1" customWidth="1"/>
    <col min="4" max="4" width="15.28515625" style="41" bestFit="1" customWidth="1"/>
    <col min="5" max="5" width="16" style="41" bestFit="1" customWidth="1"/>
    <col min="6" max="7" width="15" style="41" customWidth="1"/>
    <col min="8" max="8" width="16.85546875" style="122" bestFit="1" customWidth="1"/>
    <col min="9" max="9" width="16.85546875" style="41" customWidth="1"/>
  </cols>
  <sheetData>
    <row r="1" spans="1:11" ht="42.75" thickBot="1">
      <c r="A1" s="1198" t="s">
        <v>327</v>
      </c>
      <c r="B1" s="76" t="s">
        <v>328</v>
      </c>
      <c r="C1" s="77" t="s">
        <v>329</v>
      </c>
      <c r="D1" s="77" t="s">
        <v>330</v>
      </c>
      <c r="E1" s="77" t="s">
        <v>331</v>
      </c>
      <c r="F1" s="78" t="s">
        <v>107</v>
      </c>
      <c r="G1" s="79" t="s">
        <v>332</v>
      </c>
      <c r="H1" s="80" t="s">
        <v>333</v>
      </c>
      <c r="I1" s="81" t="s">
        <v>334</v>
      </c>
      <c r="J1" s="57"/>
      <c r="K1" s="57"/>
    </row>
    <row r="2" spans="1:11" ht="15.75" customHeight="1" thickBot="1">
      <c r="A2" s="1199"/>
      <c r="B2" s="82">
        <v>600</v>
      </c>
      <c r="C2" s="83">
        <f>'Aneksi nr.1'!E12/1000</f>
        <v>1656802.8910000001</v>
      </c>
      <c r="D2" s="84">
        <f>'Aneksi nr.1'!G12/1000</f>
        <v>1516200</v>
      </c>
      <c r="E2" s="84"/>
      <c r="F2" s="84"/>
      <c r="G2" s="84">
        <f>E2-F2</f>
        <v>0</v>
      </c>
      <c r="H2" s="85" t="e">
        <f>F2/E2*100</f>
        <v>#DIV/0!</v>
      </c>
      <c r="I2" s="86">
        <f>E2-D2</f>
        <v>-1516200</v>
      </c>
      <c r="J2" s="57"/>
      <c r="K2" s="57"/>
    </row>
    <row r="3" spans="1:11" ht="15.75" thickBot="1">
      <c r="A3" s="1199"/>
      <c r="B3" s="82">
        <v>601</v>
      </c>
      <c r="C3" s="83">
        <f>'Aneksi nr.1'!E13/1000</f>
        <v>17381334.539130002</v>
      </c>
      <c r="D3" s="84">
        <f>'Aneksi nr.1'!G13/1000</f>
        <v>31391874</v>
      </c>
      <c r="E3" s="84"/>
      <c r="F3" s="84"/>
      <c r="G3" s="84">
        <f t="shared" ref="G3:G10" si="0">E3-F3</f>
        <v>0</v>
      </c>
      <c r="H3" s="85" t="e">
        <f t="shared" ref="H3:H11" si="1">F3/E3*100</f>
        <v>#DIV/0!</v>
      </c>
      <c r="I3" s="86">
        <f t="shared" ref="I3:I10" si="2">E3-D3</f>
        <v>-31391874</v>
      </c>
      <c r="J3" s="87">
        <v>0</v>
      </c>
      <c r="K3" s="57"/>
    </row>
    <row r="4" spans="1:11" ht="15.75" thickBot="1">
      <c r="A4" s="1199"/>
      <c r="B4" s="82">
        <v>602</v>
      </c>
      <c r="C4" s="83">
        <f>'Aneksi nr.1'!E14/1000</f>
        <v>9629528.7190000005</v>
      </c>
      <c r="D4" s="84">
        <f>'Aneksi nr.1'!G14/1000</f>
        <v>11156536</v>
      </c>
      <c r="E4" s="84"/>
      <c r="F4" s="84"/>
      <c r="G4" s="84">
        <f t="shared" si="0"/>
        <v>0</v>
      </c>
      <c r="H4" s="85" t="e">
        <f t="shared" si="1"/>
        <v>#DIV/0!</v>
      </c>
      <c r="I4" s="86">
        <f t="shared" si="2"/>
        <v>-11156536</v>
      </c>
      <c r="J4" s="87">
        <v>0</v>
      </c>
      <c r="K4" s="57"/>
    </row>
    <row r="5" spans="1:11" ht="15.75" thickBot="1">
      <c r="A5" s="1199"/>
      <c r="B5" s="82">
        <v>603</v>
      </c>
      <c r="C5" s="83">
        <f>'Aneksi nr.1'!E15/1000</f>
        <v>1902997.03</v>
      </c>
      <c r="D5" s="84">
        <f>'Aneksi nr.1'!G15/1000</f>
        <v>2134800</v>
      </c>
      <c r="E5" s="84"/>
      <c r="F5" s="84"/>
      <c r="G5" s="84">
        <f t="shared" si="0"/>
        <v>0</v>
      </c>
      <c r="H5" s="85" t="e">
        <f t="shared" si="1"/>
        <v>#DIV/0!</v>
      </c>
      <c r="I5" s="86">
        <f t="shared" si="2"/>
        <v>-2134800</v>
      </c>
      <c r="J5" s="87">
        <v>0</v>
      </c>
      <c r="K5" s="57"/>
    </row>
    <row r="6" spans="1:11" ht="15.75" thickBot="1">
      <c r="A6" s="1199"/>
      <c r="B6" s="82">
        <v>604</v>
      </c>
      <c r="C6" s="83">
        <f>'Aneksi nr.1'!E16/1000</f>
        <v>1342870.8060000001</v>
      </c>
      <c r="D6" s="84">
        <f>'Aneksi nr.1'!G16/1000</f>
        <v>1757900</v>
      </c>
      <c r="E6" s="84"/>
      <c r="F6" s="84"/>
      <c r="G6" s="84">
        <f t="shared" si="0"/>
        <v>0</v>
      </c>
      <c r="H6" s="85" t="e">
        <f t="shared" si="1"/>
        <v>#DIV/0!</v>
      </c>
      <c r="I6" s="86">
        <f t="shared" si="2"/>
        <v>-1757900</v>
      </c>
      <c r="J6" s="87">
        <v>0</v>
      </c>
      <c r="K6" s="57"/>
    </row>
    <row r="7" spans="1:11" ht="15.75" thickBot="1">
      <c r="A7" s="1199"/>
      <c r="B7" s="82">
        <v>605</v>
      </c>
      <c r="C7" s="83">
        <f>'Aneksi nr.1'!E17/1000</f>
        <v>5228958</v>
      </c>
      <c r="D7" s="84">
        <f>'Aneksi nr.1'!G17/1000</f>
        <v>5200000</v>
      </c>
      <c r="E7" s="84"/>
      <c r="F7" s="84"/>
      <c r="G7" s="84">
        <f t="shared" si="0"/>
        <v>0</v>
      </c>
      <c r="H7" s="85" t="e">
        <f t="shared" si="1"/>
        <v>#DIV/0!</v>
      </c>
      <c r="I7" s="86">
        <f t="shared" si="2"/>
        <v>-5200000</v>
      </c>
      <c r="J7" s="87">
        <v>0</v>
      </c>
      <c r="K7" s="87"/>
    </row>
    <row r="8" spans="1:11" ht="15.75" thickBot="1">
      <c r="A8" s="1199"/>
      <c r="B8" s="82">
        <v>606</v>
      </c>
      <c r="C8" s="83">
        <f>'Aneksi nr.1'!E18/1000</f>
        <v>2400316.95383</v>
      </c>
      <c r="D8" s="84">
        <f>'Aneksi nr.1'!G18/1000</f>
        <v>5791250</v>
      </c>
      <c r="E8" s="84"/>
      <c r="F8" s="84"/>
      <c r="G8" s="84">
        <f t="shared" si="0"/>
        <v>0</v>
      </c>
      <c r="H8" s="85" t="e">
        <f t="shared" si="1"/>
        <v>#DIV/0!</v>
      </c>
      <c r="I8" s="86">
        <f>E8-D8</f>
        <v>-5791250</v>
      </c>
      <c r="J8" s="87">
        <v>0</v>
      </c>
      <c r="K8" s="87"/>
    </row>
    <row r="9" spans="1:11" ht="15.75" thickBot="1">
      <c r="A9" s="1199"/>
      <c r="B9" s="82">
        <v>231</v>
      </c>
      <c r="C9" s="83">
        <f>'Aneksi nr.1'!E19/1000</f>
        <v>39542808.938960008</v>
      </c>
      <c r="D9" s="84">
        <f>'Aneksi nr.1'!G19/1000</f>
        <v>58948560</v>
      </c>
      <c r="E9" s="84"/>
      <c r="F9" s="84"/>
      <c r="G9" s="84">
        <f t="shared" si="0"/>
        <v>0</v>
      </c>
      <c r="H9" s="85" t="e">
        <f t="shared" si="1"/>
        <v>#DIV/0!</v>
      </c>
      <c r="I9" s="86">
        <f t="shared" si="2"/>
        <v>-58948560</v>
      </c>
      <c r="J9" s="87"/>
      <c r="K9" s="87"/>
    </row>
    <row r="10" spans="1:11" ht="15.75" thickBot="1">
      <c r="A10" s="1199"/>
      <c r="B10" s="82" t="s">
        <v>335</v>
      </c>
      <c r="C10" s="83">
        <f>'Aneksi nr.1'!E20/1000</f>
        <v>24682</v>
      </c>
      <c r="D10" s="84">
        <v>0</v>
      </c>
      <c r="E10" s="84"/>
      <c r="F10" s="88"/>
      <c r="G10" s="84">
        <f t="shared" si="0"/>
        <v>0</v>
      </c>
      <c r="H10" s="85" t="e">
        <f t="shared" si="1"/>
        <v>#DIV/0!</v>
      </c>
      <c r="I10" s="86">
        <f t="shared" si="2"/>
        <v>0</v>
      </c>
      <c r="J10" s="87">
        <v>0</v>
      </c>
      <c r="K10" s="87"/>
    </row>
    <row r="11" spans="1:11" ht="29.25" thickBot="1">
      <c r="A11" s="1200"/>
      <c r="B11" s="89" t="s">
        <v>336</v>
      </c>
      <c r="C11" s="90">
        <f>SUM(C2:C10)</f>
        <v>79110299.877920002</v>
      </c>
      <c r="D11" s="90">
        <f>SUM(D2:D10)</f>
        <v>117897120</v>
      </c>
      <c r="E11" s="90">
        <f>SUM(E2:E10)</f>
        <v>0</v>
      </c>
      <c r="F11" s="90">
        <f>SUM(F2:F10)</f>
        <v>0</v>
      </c>
      <c r="G11" s="90">
        <f>SUM(G2:G10)</f>
        <v>0</v>
      </c>
      <c r="H11" s="91" t="e">
        <f t="shared" si="1"/>
        <v>#DIV/0!</v>
      </c>
      <c r="I11" s="90">
        <f>SUM(I2:I10)</f>
        <v>-117897120</v>
      </c>
      <c r="J11" s="87">
        <v>0</v>
      </c>
      <c r="K11" s="87"/>
    </row>
    <row r="12" spans="1:11">
      <c r="A12" s="57"/>
      <c r="B12" s="57"/>
      <c r="C12" s="92"/>
      <c r="D12" s="93"/>
      <c r="E12" s="94"/>
      <c r="F12" s="95"/>
      <c r="G12" s="93"/>
      <c r="H12" s="96"/>
      <c r="I12" s="92"/>
      <c r="J12" s="57"/>
      <c r="K12" s="57"/>
    </row>
    <row r="13" spans="1:11" ht="15.75" thickBot="1">
      <c r="A13" s="57"/>
      <c r="B13" s="57"/>
      <c r="C13" s="92"/>
      <c r="D13" s="93"/>
      <c r="E13" s="93"/>
      <c r="F13" s="95"/>
      <c r="G13" s="93"/>
      <c r="H13" s="96"/>
      <c r="I13" s="92"/>
      <c r="J13" s="57"/>
      <c r="K13" s="57"/>
    </row>
    <row r="14" spans="1:11" ht="51.75" thickBot="1">
      <c r="A14" s="1198" t="s">
        <v>337</v>
      </c>
      <c r="B14" s="97" t="s">
        <v>328</v>
      </c>
      <c r="C14" s="98" t="s">
        <v>107</v>
      </c>
      <c r="D14" s="98" t="s">
        <v>330</v>
      </c>
      <c r="E14" s="98" t="s">
        <v>331</v>
      </c>
      <c r="F14" s="78" t="s">
        <v>107</v>
      </c>
      <c r="G14" s="99" t="s">
        <v>332</v>
      </c>
      <c r="H14" s="80" t="s">
        <v>333</v>
      </c>
      <c r="I14" s="99" t="s">
        <v>334</v>
      </c>
      <c r="J14" s="57"/>
      <c r="K14" s="57"/>
    </row>
    <row r="15" spans="1:11" ht="15.75" thickBot="1">
      <c r="A15" s="1199"/>
      <c r="B15" s="82">
        <v>600</v>
      </c>
      <c r="C15" s="83">
        <v>3590420.6770000001</v>
      </c>
      <c r="D15" s="84">
        <v>3869168</v>
      </c>
      <c r="E15" s="84">
        <v>4861643.95</v>
      </c>
      <c r="F15" s="84">
        <v>4851623.432</v>
      </c>
      <c r="G15" s="84">
        <f>E15-F15</f>
        <v>10020.518000000156</v>
      </c>
      <c r="H15" s="85">
        <f>F15/E15*100</f>
        <v>99.793886222375448</v>
      </c>
      <c r="I15" s="84">
        <f>E15-D15</f>
        <v>992475.95000000019</v>
      </c>
      <c r="J15" s="57"/>
      <c r="K15" s="57"/>
    </row>
    <row r="16" spans="1:11" ht="15.75" thickBot="1">
      <c r="A16" s="1199"/>
      <c r="B16" s="82">
        <v>601</v>
      </c>
      <c r="C16" s="83">
        <v>608428.18400000001</v>
      </c>
      <c r="D16" s="84">
        <v>680000</v>
      </c>
      <c r="E16" s="84">
        <v>787160</v>
      </c>
      <c r="F16" s="84">
        <v>784786.62800000003</v>
      </c>
      <c r="G16" s="84">
        <f t="shared" ref="G16:G23" si="3">E16-F16</f>
        <v>2373.3719999999739</v>
      </c>
      <c r="H16" s="85">
        <f t="shared" ref="H16:H24" si="4">F16/E16*100</f>
        <v>99.698489252502682</v>
      </c>
      <c r="I16" s="84">
        <f t="shared" ref="I16:I23" si="5">E16-D16</f>
        <v>107160</v>
      </c>
      <c r="J16" s="57"/>
      <c r="K16" s="57"/>
    </row>
    <row r="17" spans="1:9" ht="15.75" thickBot="1">
      <c r="A17" s="1199"/>
      <c r="B17" s="82">
        <v>602</v>
      </c>
      <c r="C17" s="83">
        <v>2994541.7336000004</v>
      </c>
      <c r="D17" s="84">
        <v>2863090</v>
      </c>
      <c r="E17" s="84">
        <v>3523090</v>
      </c>
      <c r="F17" s="84">
        <v>3456990.3500399999</v>
      </c>
      <c r="G17" s="84">
        <f t="shared" si="3"/>
        <v>66099.649960000068</v>
      </c>
      <c r="H17" s="85">
        <f t="shared" si="4"/>
        <v>98.123816026272394</v>
      </c>
      <c r="I17" s="84">
        <f t="shared" si="5"/>
        <v>660000</v>
      </c>
    </row>
    <row r="18" spans="1:9" ht="15.75" thickBot="1">
      <c r="A18" s="1199"/>
      <c r="B18" s="82">
        <v>603</v>
      </c>
      <c r="C18" s="83">
        <v>0</v>
      </c>
      <c r="D18" s="84">
        <v>0</v>
      </c>
      <c r="E18" s="84">
        <v>0</v>
      </c>
      <c r="F18" s="84">
        <v>0</v>
      </c>
      <c r="G18" s="84">
        <f t="shared" si="3"/>
        <v>0</v>
      </c>
      <c r="H18" s="85" t="e">
        <f t="shared" si="4"/>
        <v>#DIV/0!</v>
      </c>
      <c r="I18" s="84">
        <f t="shared" si="5"/>
        <v>0</v>
      </c>
    </row>
    <row r="19" spans="1:9" ht="15.75" thickBot="1">
      <c r="A19" s="1199"/>
      <c r="B19" s="82">
        <v>604</v>
      </c>
      <c r="C19" s="83">
        <v>0</v>
      </c>
      <c r="D19" s="84">
        <v>0</v>
      </c>
      <c r="E19" s="84">
        <v>0</v>
      </c>
      <c r="F19" s="84">
        <v>0</v>
      </c>
      <c r="G19" s="84">
        <f t="shared" si="3"/>
        <v>0</v>
      </c>
      <c r="H19" s="85" t="e">
        <f t="shared" si="4"/>
        <v>#DIV/0!</v>
      </c>
      <c r="I19" s="84">
        <f t="shared" si="5"/>
        <v>0</v>
      </c>
    </row>
    <row r="20" spans="1:9" ht="15.75" thickBot="1">
      <c r="A20" s="1199"/>
      <c r="B20" s="82">
        <v>605</v>
      </c>
      <c r="C20" s="83">
        <v>0</v>
      </c>
      <c r="D20" s="84">
        <v>0</v>
      </c>
      <c r="E20" s="84">
        <v>0</v>
      </c>
      <c r="F20" s="84">
        <v>0</v>
      </c>
      <c r="G20" s="84">
        <f t="shared" si="3"/>
        <v>0</v>
      </c>
      <c r="H20" s="85" t="e">
        <f t="shared" si="4"/>
        <v>#DIV/0!</v>
      </c>
      <c r="I20" s="84">
        <f t="shared" si="5"/>
        <v>0</v>
      </c>
    </row>
    <row r="21" spans="1:9" ht="15.75" thickBot="1">
      <c r="A21" s="1199"/>
      <c r="B21" s="82">
        <v>606</v>
      </c>
      <c r="C21" s="83">
        <v>71323.006379999992</v>
      </c>
      <c r="D21" s="84">
        <v>40000</v>
      </c>
      <c r="E21" s="84">
        <v>66240.873000000007</v>
      </c>
      <c r="F21" s="84">
        <v>62271.942000000003</v>
      </c>
      <c r="G21" s="84">
        <f t="shared" si="3"/>
        <v>3968.9310000000041</v>
      </c>
      <c r="H21" s="85">
        <f t="shared" si="4"/>
        <v>94.008335306812754</v>
      </c>
      <c r="I21" s="84">
        <f>E21-D21</f>
        <v>26240.873000000007</v>
      </c>
    </row>
    <row r="22" spans="1:9" ht="15.75" thickBot="1">
      <c r="A22" s="1199"/>
      <c r="B22" s="82">
        <v>231</v>
      </c>
      <c r="C22" s="83">
        <v>7433458.9919999996</v>
      </c>
      <c r="D22" s="84">
        <v>11201500</v>
      </c>
      <c r="E22" s="84">
        <v>8836120</v>
      </c>
      <c r="F22" s="84">
        <v>8225662.1870900001</v>
      </c>
      <c r="G22" s="84">
        <f t="shared" si="3"/>
        <v>610457.81290999986</v>
      </c>
      <c r="H22" s="85">
        <f t="shared" si="4"/>
        <v>93.091336322843048</v>
      </c>
      <c r="I22" s="84">
        <f t="shared" si="5"/>
        <v>-2365380</v>
      </c>
    </row>
    <row r="23" spans="1:9" ht="15.75" thickBot="1">
      <c r="A23" s="1199"/>
      <c r="B23" s="82" t="s">
        <v>335</v>
      </c>
      <c r="C23" s="83">
        <v>0</v>
      </c>
      <c r="D23" s="84">
        <v>10200000</v>
      </c>
      <c r="E23" s="84">
        <v>11102400</v>
      </c>
      <c r="F23" s="84">
        <v>0</v>
      </c>
      <c r="G23" s="84">
        <f t="shared" si="3"/>
        <v>11102400</v>
      </c>
      <c r="H23" s="85">
        <f t="shared" si="4"/>
        <v>0</v>
      </c>
      <c r="I23" s="84">
        <f t="shared" si="5"/>
        <v>902400</v>
      </c>
    </row>
    <row r="24" spans="1:9" ht="29.25" thickBot="1">
      <c r="A24" s="1201"/>
      <c r="B24" s="89" t="s">
        <v>336</v>
      </c>
      <c r="C24" s="100">
        <v>14698172.592980001</v>
      </c>
      <c r="D24" s="90">
        <v>28853758</v>
      </c>
      <c r="E24" s="90">
        <f>SUM(E15:E23)</f>
        <v>29176654.822999999</v>
      </c>
      <c r="F24" s="90">
        <f>SUM(F15:F23)</f>
        <v>17381334.539130002</v>
      </c>
      <c r="G24" s="90">
        <f>SUM(G15:G23)</f>
        <v>11795320.28387</v>
      </c>
      <c r="H24" s="91">
        <f t="shared" si="4"/>
        <v>59.572746240354711</v>
      </c>
      <c r="I24" s="90">
        <f>SUM(I15:I23)</f>
        <v>322896.82300000009</v>
      </c>
    </row>
    <row r="25" spans="1:9">
      <c r="A25" s="57"/>
      <c r="B25" s="57"/>
      <c r="C25" s="92">
        <v>14701747.592979999</v>
      </c>
      <c r="D25" s="94">
        <v>24939590</v>
      </c>
      <c r="E25" s="94">
        <v>16180095.213</v>
      </c>
      <c r="F25" s="95">
        <v>14701747.592979999</v>
      </c>
      <c r="G25" s="94">
        <v>1481922.6200199996</v>
      </c>
      <c r="H25" s="101">
        <v>9.0863171071872237E-2</v>
      </c>
      <c r="I25" s="94" t="e">
        <v>#REF!</v>
      </c>
    </row>
    <row r="26" spans="1:9" ht="15.75" thickBot="1">
      <c r="A26" s="57"/>
      <c r="B26" s="57"/>
      <c r="C26" s="92"/>
      <c r="D26" s="94">
        <v>0</v>
      </c>
      <c r="E26" s="94">
        <v>0</v>
      </c>
      <c r="F26" s="95"/>
      <c r="G26" s="94"/>
      <c r="H26" s="101"/>
      <c r="I26" s="94"/>
    </row>
    <row r="27" spans="1:9" ht="42.75" thickBot="1">
      <c r="A27" s="1198" t="s">
        <v>338</v>
      </c>
      <c r="B27" s="76" t="s">
        <v>328</v>
      </c>
      <c r="C27" s="77" t="s">
        <v>107</v>
      </c>
      <c r="D27" s="77" t="s">
        <v>330</v>
      </c>
      <c r="E27" s="77" t="s">
        <v>331</v>
      </c>
      <c r="F27" s="78" t="s">
        <v>107</v>
      </c>
      <c r="G27" s="77" t="s">
        <v>332</v>
      </c>
      <c r="H27" s="102" t="s">
        <v>333</v>
      </c>
      <c r="I27" s="77" t="s">
        <v>334</v>
      </c>
    </row>
    <row r="28" spans="1:9" ht="15.75" thickBot="1">
      <c r="A28" s="1199"/>
      <c r="B28" s="82">
        <v>600</v>
      </c>
      <c r="C28" s="83">
        <v>3055112.84</v>
      </c>
      <c r="D28" s="84">
        <v>3188700</v>
      </c>
      <c r="E28" s="84">
        <v>3655358.1269999999</v>
      </c>
      <c r="F28" s="84">
        <v>3643746.554</v>
      </c>
      <c r="G28" s="84">
        <f>E28-F28</f>
        <v>11611.572999999858</v>
      </c>
      <c r="H28" s="85">
        <f>F28/E28*100</f>
        <v>99.682341029344514</v>
      </c>
      <c r="I28" s="86">
        <f>E28-D28</f>
        <v>466658.12699999986</v>
      </c>
    </row>
    <row r="29" spans="1:9" ht="15.75" thickBot="1">
      <c r="A29" s="1199"/>
      <c r="B29" s="82">
        <v>601</v>
      </c>
      <c r="C29" s="83">
        <v>528272.23199999996</v>
      </c>
      <c r="D29" s="84">
        <v>514300</v>
      </c>
      <c r="E29" s="84">
        <v>605980</v>
      </c>
      <c r="F29" s="84">
        <v>600774.04399999999</v>
      </c>
      <c r="G29" s="84">
        <f t="shared" ref="G29:G36" si="6">E29-F29</f>
        <v>5205.9560000000056</v>
      </c>
      <c r="H29" s="85">
        <f t="shared" ref="H29:H37" si="7">F29/E29*100</f>
        <v>99.140903000099016</v>
      </c>
      <c r="I29" s="86">
        <f t="shared" ref="I29:I36" si="8">E29-D29</f>
        <v>91680</v>
      </c>
    </row>
    <row r="30" spans="1:9" ht="15.75" thickBot="1">
      <c r="A30" s="1199"/>
      <c r="B30" s="82">
        <v>602</v>
      </c>
      <c r="C30" s="83">
        <v>1957084.98245</v>
      </c>
      <c r="D30" s="84">
        <v>2750686</v>
      </c>
      <c r="E30" s="84">
        <v>3110504</v>
      </c>
      <c r="F30" s="84">
        <v>3041395.8130000001</v>
      </c>
      <c r="G30" s="84">
        <f t="shared" si="6"/>
        <v>69108.186999999918</v>
      </c>
      <c r="H30" s="85">
        <f t="shared" si="7"/>
        <v>97.778231855673553</v>
      </c>
      <c r="I30" s="86">
        <f t="shared" si="8"/>
        <v>359818</v>
      </c>
    </row>
    <row r="31" spans="1:9" ht="15.75" thickBot="1">
      <c r="A31" s="1199"/>
      <c r="B31" s="82">
        <v>603</v>
      </c>
      <c r="C31" s="83">
        <v>0</v>
      </c>
      <c r="D31" s="84">
        <v>0</v>
      </c>
      <c r="E31" s="84">
        <v>0</v>
      </c>
      <c r="F31" s="84">
        <v>0</v>
      </c>
      <c r="G31" s="84">
        <f t="shared" si="6"/>
        <v>0</v>
      </c>
      <c r="H31" s="85" t="e">
        <f t="shared" si="7"/>
        <v>#DIV/0!</v>
      </c>
      <c r="I31" s="86">
        <f t="shared" si="8"/>
        <v>0</v>
      </c>
    </row>
    <row r="32" spans="1:9" ht="15.75" thickBot="1">
      <c r="A32" s="1199"/>
      <c r="B32" s="82">
        <v>604</v>
      </c>
      <c r="C32" s="83">
        <v>289176.97100000002</v>
      </c>
      <c r="D32" s="84">
        <v>0</v>
      </c>
      <c r="E32" s="84">
        <v>0</v>
      </c>
      <c r="F32" s="84">
        <v>0</v>
      </c>
      <c r="G32" s="84">
        <f t="shared" si="6"/>
        <v>0</v>
      </c>
      <c r="H32" s="85" t="e">
        <f t="shared" si="7"/>
        <v>#DIV/0!</v>
      </c>
      <c r="I32" s="86">
        <f t="shared" si="8"/>
        <v>0</v>
      </c>
    </row>
    <row r="33" spans="1:9" ht="16.5" customHeight="1" thickBot="1">
      <c r="A33" s="1199"/>
      <c r="B33" s="82">
        <v>605</v>
      </c>
      <c r="C33" s="83">
        <v>0</v>
      </c>
      <c r="D33" s="84">
        <v>0</v>
      </c>
      <c r="E33" s="84">
        <v>0</v>
      </c>
      <c r="F33" s="84">
        <v>0</v>
      </c>
      <c r="G33" s="84">
        <f t="shared" si="6"/>
        <v>0</v>
      </c>
      <c r="H33" s="85" t="e">
        <f t="shared" si="7"/>
        <v>#DIV/0!</v>
      </c>
      <c r="I33" s="86">
        <f t="shared" si="8"/>
        <v>0</v>
      </c>
    </row>
    <row r="34" spans="1:9" ht="15.75" thickBot="1">
      <c r="A34" s="1199"/>
      <c r="B34" s="82">
        <v>606</v>
      </c>
      <c r="C34" s="83">
        <v>299352.57750999997</v>
      </c>
      <c r="D34" s="84">
        <v>301250</v>
      </c>
      <c r="E34" s="84">
        <v>288528.99900000001</v>
      </c>
      <c r="F34" s="84">
        <v>273641.14500000002</v>
      </c>
      <c r="G34" s="84">
        <f t="shared" si="6"/>
        <v>14887.853999999992</v>
      </c>
      <c r="H34" s="85">
        <f t="shared" si="7"/>
        <v>94.840083994468785</v>
      </c>
      <c r="I34" s="86">
        <f t="shared" si="8"/>
        <v>-12721.000999999989</v>
      </c>
    </row>
    <row r="35" spans="1:9" ht="15.75" thickBot="1">
      <c r="A35" s="1199"/>
      <c r="B35" s="82">
        <v>231</v>
      </c>
      <c r="C35" s="83">
        <v>638800.21400000004</v>
      </c>
      <c r="D35" s="84">
        <v>1558500</v>
      </c>
      <c r="E35" s="84">
        <v>2317855</v>
      </c>
      <c r="F35" s="84">
        <v>2069971.15873</v>
      </c>
      <c r="G35" s="84">
        <f t="shared" si="6"/>
        <v>247883.84126999998</v>
      </c>
      <c r="H35" s="85">
        <f t="shared" si="7"/>
        <v>89.305463833156082</v>
      </c>
      <c r="I35" s="86">
        <f t="shared" si="8"/>
        <v>759355</v>
      </c>
    </row>
    <row r="36" spans="1:9" ht="15.75" thickBot="1">
      <c r="A36" s="1199"/>
      <c r="B36" s="82" t="s">
        <v>335</v>
      </c>
      <c r="C36" s="83">
        <v>0</v>
      </c>
      <c r="D36" s="84">
        <v>0</v>
      </c>
      <c r="E36" s="84">
        <v>0</v>
      </c>
      <c r="F36" s="88"/>
      <c r="G36" s="84">
        <f t="shared" si="6"/>
        <v>0</v>
      </c>
      <c r="H36" s="85" t="e">
        <f t="shared" si="7"/>
        <v>#DIV/0!</v>
      </c>
      <c r="I36" s="86">
        <f t="shared" si="8"/>
        <v>0</v>
      </c>
    </row>
    <row r="37" spans="1:9" ht="29.25" thickBot="1">
      <c r="A37" s="1200"/>
      <c r="B37" s="89" t="s">
        <v>336</v>
      </c>
      <c r="C37" s="103">
        <v>6767799.8169599995</v>
      </c>
      <c r="D37" s="90">
        <v>8313436</v>
      </c>
      <c r="E37" s="90">
        <f>SUM(E28:E36)</f>
        <v>9978226.1260000002</v>
      </c>
      <c r="F37" s="90">
        <f>SUM(F28:F36)</f>
        <v>9629528.7147300001</v>
      </c>
      <c r="G37" s="90">
        <f>SUM(G28:G36)</f>
        <v>348697.41126999975</v>
      </c>
      <c r="H37" s="91">
        <f t="shared" si="7"/>
        <v>96.505416825928521</v>
      </c>
      <c r="I37" s="90">
        <f>SUM(I28:I36)</f>
        <v>1664790.1259999999</v>
      </c>
    </row>
    <row r="38" spans="1:9">
      <c r="A38" s="57"/>
      <c r="B38" s="57"/>
      <c r="C38" s="92">
        <v>0</v>
      </c>
      <c r="D38" s="94">
        <v>0</v>
      </c>
      <c r="E38" s="94">
        <v>610956.94299999997</v>
      </c>
      <c r="F38" s="95">
        <v>0</v>
      </c>
      <c r="G38" s="94">
        <v>0</v>
      </c>
      <c r="H38" s="101"/>
      <c r="I38" s="94"/>
    </row>
    <row r="39" spans="1:9" ht="15.75" thickBot="1">
      <c r="A39" s="57"/>
      <c r="B39" s="57"/>
      <c r="C39" s="92">
        <v>6767799.8169600004</v>
      </c>
      <c r="D39" s="94">
        <v>8020436</v>
      </c>
      <c r="E39" s="94">
        <v>7409479.057</v>
      </c>
      <c r="F39" s="95">
        <v>6767799.8169600004</v>
      </c>
      <c r="G39" s="94">
        <v>641679.24003999995</v>
      </c>
      <c r="H39" s="101">
        <v>9.1339752294275225E-2</v>
      </c>
      <c r="I39" s="94"/>
    </row>
    <row r="40" spans="1:9" ht="42.75" thickBot="1">
      <c r="A40" s="1202" t="s">
        <v>339</v>
      </c>
      <c r="B40" s="76" t="s">
        <v>328</v>
      </c>
      <c r="C40" s="77" t="s">
        <v>107</v>
      </c>
      <c r="D40" s="77" t="s">
        <v>330</v>
      </c>
      <c r="E40" s="77" t="s">
        <v>331</v>
      </c>
      <c r="F40" s="78" t="s">
        <v>107</v>
      </c>
      <c r="G40" s="77" t="s">
        <v>332</v>
      </c>
      <c r="H40" s="102" t="s">
        <v>333</v>
      </c>
      <c r="I40" s="77" t="s">
        <v>334</v>
      </c>
    </row>
    <row r="41" spans="1:9" ht="15.75" thickBot="1">
      <c r="A41" s="1203"/>
      <c r="B41" s="82">
        <v>600</v>
      </c>
      <c r="C41" s="83">
        <v>584137.73</v>
      </c>
      <c r="D41" s="84">
        <v>510836</v>
      </c>
      <c r="E41" s="84">
        <v>702836</v>
      </c>
      <c r="F41" s="84">
        <v>695375.30799999996</v>
      </c>
      <c r="G41" s="84">
        <f>E41-F41</f>
        <v>7460.6920000000391</v>
      </c>
      <c r="H41" s="85">
        <f>F41/E41*100</f>
        <v>98.938487499217459</v>
      </c>
      <c r="I41" s="86">
        <f>E41-D41</f>
        <v>192000</v>
      </c>
    </row>
    <row r="42" spans="1:9" ht="15.75" thickBot="1">
      <c r="A42" s="1203"/>
      <c r="B42" s="82">
        <v>601</v>
      </c>
      <c r="C42" s="83">
        <v>96245.744000000006</v>
      </c>
      <c r="D42" s="84">
        <v>95000</v>
      </c>
      <c r="E42" s="84">
        <v>117000</v>
      </c>
      <c r="F42" s="84">
        <v>114015.591</v>
      </c>
      <c r="G42" s="84">
        <f t="shared" ref="G42:G49" si="9">E42-F42</f>
        <v>2984.4089999999997</v>
      </c>
      <c r="H42" s="85">
        <f t="shared" ref="H42:H50" si="10">F42/E42*100</f>
        <v>97.449223076923076</v>
      </c>
      <c r="I42" s="86">
        <f t="shared" ref="I42:I49" si="11">E42-D42</f>
        <v>22000</v>
      </c>
    </row>
    <row r="43" spans="1:9" ht="15.75" thickBot="1">
      <c r="A43" s="1203"/>
      <c r="B43" s="82">
        <v>602</v>
      </c>
      <c r="C43" s="83">
        <v>881452.25100000005</v>
      </c>
      <c r="D43" s="84">
        <v>798164</v>
      </c>
      <c r="E43" s="84">
        <v>898164</v>
      </c>
      <c r="F43" s="84">
        <v>895915.2</v>
      </c>
      <c r="G43" s="84">
        <f t="shared" si="9"/>
        <v>2248.8000000000466</v>
      </c>
      <c r="H43" s="85">
        <f t="shared" si="10"/>
        <v>99.749622563362578</v>
      </c>
      <c r="I43" s="86">
        <f t="shared" si="11"/>
        <v>100000</v>
      </c>
    </row>
    <row r="44" spans="1:9" ht="15.75" thickBot="1">
      <c r="A44" s="1203"/>
      <c r="B44" s="82">
        <v>603</v>
      </c>
      <c r="C44" s="83">
        <v>0</v>
      </c>
      <c r="D44" s="84">
        <v>0</v>
      </c>
      <c r="E44" s="84">
        <v>0</v>
      </c>
      <c r="F44" s="84">
        <v>0</v>
      </c>
      <c r="G44" s="84">
        <f t="shared" si="9"/>
        <v>0</v>
      </c>
      <c r="H44" s="85" t="e">
        <f t="shared" si="10"/>
        <v>#DIV/0!</v>
      </c>
      <c r="I44" s="86">
        <f t="shared" si="11"/>
        <v>0</v>
      </c>
    </row>
    <row r="45" spans="1:9" ht="15.75" thickBot="1">
      <c r="A45" s="1203"/>
      <c r="B45" s="82">
        <v>604</v>
      </c>
      <c r="C45" s="83">
        <v>0</v>
      </c>
      <c r="D45" s="84">
        <v>0</v>
      </c>
      <c r="E45" s="84">
        <v>0</v>
      </c>
      <c r="F45" s="84">
        <v>0</v>
      </c>
      <c r="G45" s="84">
        <f t="shared" si="9"/>
        <v>0</v>
      </c>
      <c r="H45" s="85" t="e">
        <f t="shared" si="10"/>
        <v>#DIV/0!</v>
      </c>
      <c r="I45" s="86">
        <f t="shared" si="11"/>
        <v>0</v>
      </c>
    </row>
    <row r="46" spans="1:9" ht="15.75" thickBot="1">
      <c r="A46" s="1203"/>
      <c r="B46" s="82">
        <v>605</v>
      </c>
      <c r="C46" s="83">
        <v>0</v>
      </c>
      <c r="D46" s="84">
        <v>0</v>
      </c>
      <c r="E46" s="84">
        <v>0</v>
      </c>
      <c r="F46" s="84">
        <v>0</v>
      </c>
      <c r="G46" s="84">
        <f t="shared" si="9"/>
        <v>0</v>
      </c>
      <c r="H46" s="85" t="e">
        <f t="shared" si="10"/>
        <v>#DIV/0!</v>
      </c>
      <c r="I46" s="86">
        <f t="shared" si="11"/>
        <v>0</v>
      </c>
    </row>
    <row r="47" spans="1:9" ht="15.75" thickBot="1">
      <c r="A47" s="1203"/>
      <c r="B47" s="82">
        <v>606</v>
      </c>
      <c r="C47" s="83">
        <v>4138.1970000000001</v>
      </c>
      <c r="D47" s="84">
        <v>2000</v>
      </c>
      <c r="E47" s="84">
        <v>4439.96</v>
      </c>
      <c r="F47" s="84">
        <v>4406.1310000000003</v>
      </c>
      <c r="G47" s="84">
        <f t="shared" si="9"/>
        <v>33.828999999999724</v>
      </c>
      <c r="H47" s="85">
        <f t="shared" si="10"/>
        <v>99.238078721429929</v>
      </c>
      <c r="I47" s="86">
        <f t="shared" si="11"/>
        <v>2439.96</v>
      </c>
    </row>
    <row r="48" spans="1:9" ht="15.75" thickBot="1">
      <c r="A48" s="1203"/>
      <c r="B48" s="82">
        <v>231</v>
      </c>
      <c r="C48" s="83">
        <v>339449.09600000002</v>
      </c>
      <c r="D48" s="84">
        <v>500000</v>
      </c>
      <c r="E48" s="84">
        <v>197000</v>
      </c>
      <c r="F48" s="84">
        <v>193284.8</v>
      </c>
      <c r="G48" s="84">
        <f t="shared" si="9"/>
        <v>3715.2000000000116</v>
      </c>
      <c r="H48" s="85">
        <f t="shared" si="10"/>
        <v>98.114111675126907</v>
      </c>
      <c r="I48" s="86">
        <f t="shared" si="11"/>
        <v>-303000</v>
      </c>
    </row>
    <row r="49" spans="1:9" ht="15.75" thickBot="1">
      <c r="A49" s="1203"/>
      <c r="B49" s="82" t="s">
        <v>335</v>
      </c>
      <c r="C49" s="83">
        <v>0</v>
      </c>
      <c r="D49" s="84">
        <v>0</v>
      </c>
      <c r="E49" s="84">
        <v>0</v>
      </c>
      <c r="F49" s="88"/>
      <c r="G49" s="84">
        <f t="shared" si="9"/>
        <v>0</v>
      </c>
      <c r="H49" s="85" t="e">
        <f t="shared" si="10"/>
        <v>#DIV/0!</v>
      </c>
      <c r="I49" s="86">
        <f t="shared" si="11"/>
        <v>0</v>
      </c>
    </row>
    <row r="50" spans="1:9" ht="29.25" thickBot="1">
      <c r="A50" s="1204"/>
      <c r="B50" s="89" t="s">
        <v>336</v>
      </c>
      <c r="C50" s="103">
        <v>1905423.0180000002</v>
      </c>
      <c r="D50" s="90">
        <v>1906000</v>
      </c>
      <c r="E50" s="90">
        <f>SUM(E41:E49)</f>
        <v>1919439.96</v>
      </c>
      <c r="F50" s="90">
        <f>SUM(F41:F49)</f>
        <v>1902997.03</v>
      </c>
      <c r="G50" s="90">
        <f>SUM(G41:G49)</f>
        <v>16442.930000000095</v>
      </c>
      <c r="H50" s="91">
        <f t="shared" si="10"/>
        <v>99.143347521013368</v>
      </c>
      <c r="I50" s="90">
        <f>SUM(I41:I49)</f>
        <v>13439.960000000021</v>
      </c>
    </row>
    <row r="51" spans="1:9">
      <c r="A51" s="57"/>
      <c r="B51" s="57"/>
      <c r="C51" s="92">
        <v>0</v>
      </c>
      <c r="D51" s="94">
        <v>0</v>
      </c>
      <c r="E51" s="94">
        <v>37726.289000000106</v>
      </c>
      <c r="F51" s="95">
        <v>0</v>
      </c>
      <c r="G51" s="94">
        <v>0</v>
      </c>
      <c r="H51" s="101"/>
      <c r="I51" s="92"/>
    </row>
    <row r="52" spans="1:9" ht="15.75" thickBot="1">
      <c r="A52" s="57"/>
      <c r="B52" s="57"/>
      <c r="C52" s="92">
        <v>1905423.0179999999</v>
      </c>
      <c r="D52" s="94">
        <v>1906000</v>
      </c>
      <c r="E52" s="94">
        <v>1943726.2890000001</v>
      </c>
      <c r="F52" s="95">
        <v>1905423.0179999999</v>
      </c>
      <c r="G52" s="94">
        <v>38303.271000000001</v>
      </c>
      <c r="H52" s="101"/>
      <c r="I52" s="92"/>
    </row>
    <row r="53" spans="1:9" ht="42.75" thickBot="1">
      <c r="A53" s="1198" t="s">
        <v>340</v>
      </c>
      <c r="B53" s="76" t="s">
        <v>328</v>
      </c>
      <c r="C53" s="77" t="s">
        <v>107</v>
      </c>
      <c r="D53" s="77" t="s">
        <v>330</v>
      </c>
      <c r="E53" s="77" t="s">
        <v>331</v>
      </c>
      <c r="F53" s="78" t="s">
        <v>107</v>
      </c>
      <c r="G53" s="77" t="s">
        <v>332</v>
      </c>
      <c r="H53" s="102" t="s">
        <v>333</v>
      </c>
      <c r="I53" s="77" t="s">
        <v>334</v>
      </c>
    </row>
    <row r="54" spans="1:9" ht="15.75" thickBot="1">
      <c r="A54" s="1199"/>
      <c r="B54" s="82">
        <v>600</v>
      </c>
      <c r="C54" s="83">
        <v>418063.96600000001</v>
      </c>
      <c r="D54" s="84">
        <v>549000</v>
      </c>
      <c r="E54" s="84">
        <v>503290</v>
      </c>
      <c r="F54" s="84">
        <v>478323.136</v>
      </c>
      <c r="G54" s="84">
        <f>E54-F54</f>
        <v>24966.864000000001</v>
      </c>
      <c r="H54" s="85">
        <f>F54/E54*100</f>
        <v>95.039268811222158</v>
      </c>
      <c r="I54" s="86">
        <f>E54-D54</f>
        <v>-45710</v>
      </c>
    </row>
    <row r="55" spans="1:9" ht="15.75" thickBot="1">
      <c r="A55" s="1199"/>
      <c r="B55" s="82">
        <v>601</v>
      </c>
      <c r="C55" s="83">
        <v>99767.19</v>
      </c>
      <c r="D55" s="84">
        <v>100000</v>
      </c>
      <c r="E55" s="84">
        <v>119700</v>
      </c>
      <c r="F55" s="84">
        <v>117426.72500000001</v>
      </c>
      <c r="G55" s="84">
        <f t="shared" ref="G55:G62" si="12">E55-F55</f>
        <v>2273.2749999999942</v>
      </c>
      <c r="H55" s="85">
        <f t="shared" ref="H55:H63" si="13">F55/E55*100</f>
        <v>98.100856307435265</v>
      </c>
      <c r="I55" s="86">
        <f t="shared" ref="I55:I62" si="14">E55-D55</f>
        <v>19700</v>
      </c>
    </row>
    <row r="56" spans="1:9" ht="15.75" thickBot="1">
      <c r="A56" s="1199"/>
      <c r="B56" s="82">
        <v>602</v>
      </c>
      <c r="C56" s="83">
        <v>100127.602</v>
      </c>
      <c r="D56" s="84">
        <v>81000</v>
      </c>
      <c r="E56" s="84">
        <v>107510</v>
      </c>
      <c r="F56" s="84">
        <v>100983.829</v>
      </c>
      <c r="G56" s="84">
        <f t="shared" si="12"/>
        <v>6526.1710000000021</v>
      </c>
      <c r="H56" s="85">
        <f t="shared" si="13"/>
        <v>93.929707934145654</v>
      </c>
      <c r="I56" s="86">
        <f t="shared" si="14"/>
        <v>26510</v>
      </c>
    </row>
    <row r="57" spans="1:9" ht="15.75" thickBot="1">
      <c r="A57" s="1199"/>
      <c r="B57" s="82">
        <v>603</v>
      </c>
      <c r="C57" s="83">
        <v>0</v>
      </c>
      <c r="D57" s="84">
        <v>0</v>
      </c>
      <c r="E57" s="84">
        <v>0</v>
      </c>
      <c r="F57" s="84">
        <v>0</v>
      </c>
      <c r="G57" s="84">
        <f t="shared" si="12"/>
        <v>0</v>
      </c>
      <c r="H57" s="85" t="e">
        <f t="shared" si="13"/>
        <v>#DIV/0!</v>
      </c>
      <c r="I57" s="86">
        <f t="shared" si="14"/>
        <v>0</v>
      </c>
    </row>
    <row r="58" spans="1:9" ht="15.75" thickBot="1">
      <c r="A58" s="1199"/>
      <c r="B58" s="82">
        <v>604</v>
      </c>
      <c r="C58" s="83">
        <v>0</v>
      </c>
      <c r="D58" s="84">
        <v>0</v>
      </c>
      <c r="E58" s="84">
        <v>0</v>
      </c>
      <c r="F58" s="84">
        <v>0</v>
      </c>
      <c r="G58" s="84">
        <f t="shared" si="12"/>
        <v>0</v>
      </c>
      <c r="H58" s="85" t="e">
        <f t="shared" si="13"/>
        <v>#DIV/0!</v>
      </c>
      <c r="I58" s="86">
        <f t="shared" si="14"/>
        <v>0</v>
      </c>
    </row>
    <row r="59" spans="1:9" ht="15.75" thickBot="1">
      <c r="A59" s="1199"/>
      <c r="B59" s="82">
        <v>605</v>
      </c>
      <c r="C59" s="83">
        <v>0</v>
      </c>
      <c r="D59" s="84">
        <v>0</v>
      </c>
      <c r="E59" s="84">
        <v>0</v>
      </c>
      <c r="F59" s="84">
        <v>0</v>
      </c>
      <c r="G59" s="84">
        <f t="shared" si="12"/>
        <v>0</v>
      </c>
      <c r="H59" s="85" t="e">
        <f t="shared" si="13"/>
        <v>#DIV/0!</v>
      </c>
      <c r="I59" s="86">
        <f t="shared" si="14"/>
        <v>0</v>
      </c>
    </row>
    <row r="60" spans="1:9" ht="15.75" thickBot="1">
      <c r="A60" s="1199"/>
      <c r="B60" s="82">
        <v>606</v>
      </c>
      <c r="C60" s="83">
        <v>197765.95800000001</v>
      </c>
      <c r="D60" s="84">
        <v>140000</v>
      </c>
      <c r="E60" s="84">
        <v>259270.85500000001</v>
      </c>
      <c r="F60" s="84">
        <v>249232.26699999999</v>
      </c>
      <c r="G60" s="84">
        <f t="shared" si="12"/>
        <v>10038.588000000018</v>
      </c>
      <c r="H60" s="85">
        <f t="shared" si="13"/>
        <v>96.128146374184638</v>
      </c>
      <c r="I60" s="86">
        <f t="shared" si="14"/>
        <v>119270.85500000001</v>
      </c>
    </row>
    <row r="61" spans="1:9" ht="15.75" thickBot="1">
      <c r="A61" s="1199"/>
      <c r="B61" s="82">
        <v>231</v>
      </c>
      <c r="C61" s="83">
        <v>356148.7</v>
      </c>
      <c r="D61" s="84">
        <v>557000</v>
      </c>
      <c r="E61" s="84">
        <v>462031</v>
      </c>
      <c r="F61" s="84">
        <v>396904.84899999999</v>
      </c>
      <c r="G61" s="84">
        <f t="shared" si="12"/>
        <v>65126.151000000013</v>
      </c>
      <c r="H61" s="85">
        <f t="shared" si="13"/>
        <v>85.904376329726801</v>
      </c>
      <c r="I61" s="86">
        <f t="shared" si="14"/>
        <v>-94969</v>
      </c>
    </row>
    <row r="62" spans="1:9" ht="15.75" thickBot="1">
      <c r="A62" s="1199"/>
      <c r="B62" s="82" t="s">
        <v>335</v>
      </c>
      <c r="C62" s="83">
        <v>0</v>
      </c>
      <c r="D62" s="84">
        <v>0</v>
      </c>
      <c r="E62" s="84">
        <v>0</v>
      </c>
      <c r="F62" s="88"/>
      <c r="G62" s="84">
        <f t="shared" si="12"/>
        <v>0</v>
      </c>
      <c r="H62" s="85" t="e">
        <f t="shared" si="13"/>
        <v>#DIV/0!</v>
      </c>
      <c r="I62" s="86">
        <f t="shared" si="14"/>
        <v>0</v>
      </c>
    </row>
    <row r="63" spans="1:9" ht="29.25" thickBot="1">
      <c r="A63" s="1200"/>
      <c r="B63" s="89" t="s">
        <v>336</v>
      </c>
      <c r="C63" s="103">
        <v>1171873.416</v>
      </c>
      <c r="D63" s="90">
        <v>1427000</v>
      </c>
      <c r="E63" s="90">
        <f>SUM(E54:E62)</f>
        <v>1451801.855</v>
      </c>
      <c r="F63" s="90">
        <f>SUM(F54:F62)</f>
        <v>1342870.8060000001</v>
      </c>
      <c r="G63" s="90">
        <f>SUM(G54:G62)</f>
        <v>108931.04900000003</v>
      </c>
      <c r="H63" s="91">
        <f t="shared" si="13"/>
        <v>92.496837731344556</v>
      </c>
      <c r="I63" s="90">
        <f>SUM(I54:I62)</f>
        <v>24801.85500000001</v>
      </c>
    </row>
    <row r="64" spans="1:9">
      <c r="A64" s="57"/>
      <c r="B64" s="57"/>
      <c r="C64" s="92">
        <v>0</v>
      </c>
      <c r="D64" s="94">
        <v>0</v>
      </c>
      <c r="E64" s="94">
        <v>-61668.476999999955</v>
      </c>
      <c r="F64" s="95">
        <v>0</v>
      </c>
      <c r="G64" s="94">
        <v>0</v>
      </c>
      <c r="H64" s="101"/>
      <c r="I64" s="94"/>
    </row>
    <row r="65" spans="1:9" ht="15.75" thickBot="1">
      <c r="A65" s="57"/>
      <c r="B65" s="57"/>
      <c r="C65" s="92">
        <v>1171873.416</v>
      </c>
      <c r="D65" s="94">
        <v>1327000</v>
      </c>
      <c r="E65" s="94">
        <v>1265331.523</v>
      </c>
      <c r="F65" s="95">
        <v>1171873.416</v>
      </c>
      <c r="G65" s="94">
        <v>93458.107000000004</v>
      </c>
      <c r="H65" s="101"/>
      <c r="I65" s="94"/>
    </row>
    <row r="66" spans="1:9" ht="42.75" thickBot="1">
      <c r="A66" s="1198" t="s">
        <v>341</v>
      </c>
      <c r="B66" s="76" t="s">
        <v>328</v>
      </c>
      <c r="C66" s="77" t="s">
        <v>107</v>
      </c>
      <c r="D66" s="77" t="s">
        <v>330</v>
      </c>
      <c r="E66" s="77" t="s">
        <v>331</v>
      </c>
      <c r="F66" s="78" t="s">
        <v>107</v>
      </c>
      <c r="G66" s="77" t="s">
        <v>332</v>
      </c>
      <c r="H66" s="102" t="s">
        <v>333</v>
      </c>
      <c r="I66" s="77" t="s">
        <v>334</v>
      </c>
    </row>
    <row r="67" spans="1:9" ht="15.75" thickBot="1">
      <c r="A67" s="1199"/>
      <c r="B67" s="82">
        <v>600</v>
      </c>
      <c r="C67" s="83"/>
      <c r="D67" s="84"/>
      <c r="E67" s="84"/>
      <c r="F67" s="84"/>
      <c r="G67" s="84"/>
      <c r="H67" s="85"/>
      <c r="I67" s="86">
        <f>E67-D67</f>
        <v>0</v>
      </c>
    </row>
    <row r="68" spans="1:9" ht="15.75" thickBot="1">
      <c r="A68" s="1199"/>
      <c r="B68" s="82">
        <v>601</v>
      </c>
      <c r="C68" s="83"/>
      <c r="D68" s="84"/>
      <c r="E68" s="84"/>
      <c r="F68" s="84"/>
      <c r="G68" s="84"/>
      <c r="H68" s="85"/>
      <c r="I68" s="86">
        <f t="shared" ref="I68:I75" si="15">E68-D68</f>
        <v>0</v>
      </c>
    </row>
    <row r="69" spans="1:9" ht="15.75" thickBot="1">
      <c r="A69" s="1199"/>
      <c r="B69" s="82">
        <v>602</v>
      </c>
      <c r="C69" s="83"/>
      <c r="D69" s="84"/>
      <c r="E69" s="84"/>
      <c r="F69" s="84"/>
      <c r="G69" s="84"/>
      <c r="H69" s="85"/>
      <c r="I69" s="86">
        <f t="shared" si="15"/>
        <v>0</v>
      </c>
    </row>
    <row r="70" spans="1:9" ht="15.75" thickBot="1">
      <c r="A70" s="1199"/>
      <c r="B70" s="82">
        <v>603</v>
      </c>
      <c r="C70" s="83"/>
      <c r="D70" s="84"/>
      <c r="E70" s="84"/>
      <c r="F70" s="84"/>
      <c r="G70" s="84"/>
      <c r="H70" s="85"/>
      <c r="I70" s="86">
        <f t="shared" si="15"/>
        <v>0</v>
      </c>
    </row>
    <row r="71" spans="1:9" ht="15.75" thickBot="1">
      <c r="A71" s="1199"/>
      <c r="B71" s="82">
        <v>604</v>
      </c>
      <c r="C71" s="83">
        <v>5243000</v>
      </c>
      <c r="D71" s="84">
        <v>5200000</v>
      </c>
      <c r="E71" s="84">
        <v>5228958</v>
      </c>
      <c r="F71" s="84">
        <v>5228958</v>
      </c>
      <c r="G71" s="84">
        <f>E71-F71</f>
        <v>0</v>
      </c>
      <c r="H71" s="85">
        <f t="shared" ref="H71:H76" si="16">F71/E71*100</f>
        <v>100</v>
      </c>
      <c r="I71" s="86">
        <f t="shared" si="15"/>
        <v>28958</v>
      </c>
    </row>
    <row r="72" spans="1:9" ht="15.75" thickBot="1">
      <c r="A72" s="1199"/>
      <c r="B72" s="82">
        <v>605</v>
      </c>
      <c r="C72" s="83"/>
      <c r="D72" s="84"/>
      <c r="E72" s="84"/>
      <c r="F72" s="84"/>
      <c r="G72" s="84"/>
      <c r="H72" s="85" t="e">
        <f t="shared" si="16"/>
        <v>#DIV/0!</v>
      </c>
      <c r="I72" s="86">
        <f t="shared" si="15"/>
        <v>0</v>
      </c>
    </row>
    <row r="73" spans="1:9" ht="15.75" thickBot="1">
      <c r="A73" s="1199"/>
      <c r="B73" s="82">
        <v>606</v>
      </c>
      <c r="C73" s="83"/>
      <c r="D73" s="84"/>
      <c r="E73" s="84"/>
      <c r="F73" s="84"/>
      <c r="G73" s="84"/>
      <c r="H73" s="85" t="e">
        <f t="shared" si="16"/>
        <v>#DIV/0!</v>
      </c>
      <c r="I73" s="86">
        <f t="shared" si="15"/>
        <v>0</v>
      </c>
    </row>
    <row r="74" spans="1:9" ht="15.75" thickBot="1">
      <c r="A74" s="1199"/>
      <c r="B74" s="82">
        <v>231</v>
      </c>
      <c r="C74" s="83"/>
      <c r="D74" s="84"/>
      <c r="E74" s="84"/>
      <c r="F74" s="84"/>
      <c r="G74" s="84"/>
      <c r="H74" s="85" t="e">
        <f t="shared" si="16"/>
        <v>#DIV/0!</v>
      </c>
      <c r="I74" s="86">
        <f t="shared" si="15"/>
        <v>0</v>
      </c>
    </row>
    <row r="75" spans="1:9" ht="15.75" thickBot="1">
      <c r="A75" s="1199"/>
      <c r="B75" s="82" t="s">
        <v>335</v>
      </c>
      <c r="C75" s="83"/>
      <c r="D75" s="84"/>
      <c r="E75" s="84"/>
      <c r="F75" s="88"/>
      <c r="G75" s="84"/>
      <c r="H75" s="85" t="e">
        <f t="shared" si="16"/>
        <v>#DIV/0!</v>
      </c>
      <c r="I75" s="86">
        <f t="shared" si="15"/>
        <v>0</v>
      </c>
    </row>
    <row r="76" spans="1:9" ht="29.25" thickBot="1">
      <c r="A76" s="1200"/>
      <c r="B76" s="89" t="s">
        <v>336</v>
      </c>
      <c r="C76" s="103">
        <v>5243000</v>
      </c>
      <c r="D76" s="90">
        <v>5200000</v>
      </c>
      <c r="E76" s="90">
        <f>SUM(E67:E75)</f>
        <v>5228958</v>
      </c>
      <c r="F76" s="90">
        <f>SUM(F67:F75)</f>
        <v>5228958</v>
      </c>
      <c r="G76" s="90">
        <f>SUM(G67:G75)</f>
        <v>0</v>
      </c>
      <c r="H76" s="91">
        <f t="shared" si="16"/>
        <v>100</v>
      </c>
      <c r="I76" s="90">
        <f>SUM(I67:I75)</f>
        <v>28958</v>
      </c>
    </row>
    <row r="77" spans="1:9">
      <c r="A77" s="57"/>
      <c r="B77" s="57"/>
      <c r="C77" s="92">
        <v>0</v>
      </c>
      <c r="D77" s="94">
        <v>0</v>
      </c>
      <c r="E77" s="94">
        <v>43000</v>
      </c>
      <c r="F77" s="95">
        <v>0</v>
      </c>
      <c r="G77" s="94">
        <v>0</v>
      </c>
      <c r="H77" s="101"/>
      <c r="I77" s="92"/>
    </row>
    <row r="78" spans="1:9" ht="15.75" thickBot="1">
      <c r="A78" s="57"/>
      <c r="B78" s="57"/>
      <c r="C78" s="92">
        <v>5243000</v>
      </c>
      <c r="D78" s="94">
        <v>5200000</v>
      </c>
      <c r="E78" s="94">
        <v>5243000</v>
      </c>
      <c r="F78" s="95">
        <v>5243000</v>
      </c>
      <c r="G78" s="94">
        <v>0</v>
      </c>
      <c r="H78" s="101"/>
      <c r="I78" s="92"/>
    </row>
    <row r="79" spans="1:9" ht="42.75" thickBot="1">
      <c r="A79" s="1198" t="s">
        <v>342</v>
      </c>
      <c r="B79" s="76" t="s">
        <v>328</v>
      </c>
      <c r="C79" s="77" t="s">
        <v>107</v>
      </c>
      <c r="D79" s="77" t="s">
        <v>330</v>
      </c>
      <c r="E79" s="77" t="s">
        <v>331</v>
      </c>
      <c r="F79" s="78" t="s">
        <v>107</v>
      </c>
      <c r="G79" s="77" t="s">
        <v>332</v>
      </c>
      <c r="H79" s="102" t="s">
        <v>333</v>
      </c>
      <c r="I79" s="77" t="s">
        <v>334</v>
      </c>
    </row>
    <row r="80" spans="1:9" ht="15.75" thickBot="1">
      <c r="A80" s="1199"/>
      <c r="B80" s="82">
        <v>600</v>
      </c>
      <c r="C80" s="83">
        <v>183918.084</v>
      </c>
      <c r="D80" s="84">
        <v>164000</v>
      </c>
      <c r="E80" s="84">
        <v>205402.02100000001</v>
      </c>
      <c r="F80" s="84">
        <v>202443.35699999999</v>
      </c>
      <c r="G80" s="84">
        <f>E80-F80</f>
        <v>2958.6640000000189</v>
      </c>
      <c r="H80" s="85">
        <f>F80/E80*100</f>
        <v>98.559574055992357</v>
      </c>
      <c r="I80" s="86">
        <f>E80-D80</f>
        <v>41402.021000000008</v>
      </c>
    </row>
    <row r="81" spans="1:9" ht="15.75" thickBot="1">
      <c r="A81" s="1199"/>
      <c r="B81" s="82">
        <v>601</v>
      </c>
      <c r="C81" s="83">
        <v>30866.06</v>
      </c>
      <c r="D81" s="84">
        <v>27000</v>
      </c>
      <c r="E81" s="84">
        <v>35020</v>
      </c>
      <c r="F81" s="84">
        <v>32774.834999999999</v>
      </c>
      <c r="G81" s="84">
        <f t="shared" ref="G81:G88" si="17">E81-F81</f>
        <v>2245.1650000000009</v>
      </c>
      <c r="H81" s="85">
        <f t="shared" ref="H81:H89" si="18">F81/E81*100</f>
        <v>93.588906339234725</v>
      </c>
      <c r="I81" s="86">
        <f t="shared" ref="I81:I88" si="19">E81-D81</f>
        <v>8020</v>
      </c>
    </row>
    <row r="82" spans="1:9" ht="15.75" thickBot="1">
      <c r="A82" s="1199"/>
      <c r="B82" s="82">
        <v>602</v>
      </c>
      <c r="C82" s="83">
        <v>256893.74600000001</v>
      </c>
      <c r="D82" s="84">
        <v>441000</v>
      </c>
      <c r="E82" s="84">
        <v>281000</v>
      </c>
      <c r="F82" s="84">
        <v>236139.72399999999</v>
      </c>
      <c r="G82" s="84">
        <f t="shared" si="17"/>
        <v>44860.276000000013</v>
      </c>
      <c r="H82" s="85">
        <f t="shared" si="18"/>
        <v>84.035488967971531</v>
      </c>
      <c r="I82" s="86">
        <f t="shared" si="19"/>
        <v>-160000</v>
      </c>
    </row>
    <row r="83" spans="1:9" ht="15.75" thickBot="1">
      <c r="A83" s="1199"/>
      <c r="B83" s="82">
        <v>603</v>
      </c>
      <c r="C83" s="83">
        <v>0</v>
      </c>
      <c r="D83" s="84">
        <v>0</v>
      </c>
      <c r="E83" s="84">
        <v>0</v>
      </c>
      <c r="F83" s="84">
        <v>0</v>
      </c>
      <c r="G83" s="84">
        <f t="shared" si="17"/>
        <v>0</v>
      </c>
      <c r="H83" s="85" t="e">
        <f t="shared" si="18"/>
        <v>#DIV/0!</v>
      </c>
      <c r="I83" s="86">
        <f t="shared" si="19"/>
        <v>0</v>
      </c>
    </row>
    <row r="84" spans="1:9" ht="15.75" thickBot="1">
      <c r="A84" s="1199"/>
      <c r="B84" s="82">
        <v>604</v>
      </c>
      <c r="C84" s="83">
        <v>595063.24899999995</v>
      </c>
      <c r="D84" s="84">
        <v>800000</v>
      </c>
      <c r="E84" s="84">
        <v>639272</v>
      </c>
      <c r="F84" s="84">
        <v>590130.88582999993</v>
      </c>
      <c r="G84" s="84">
        <f t="shared" si="17"/>
        <v>49141.114170000073</v>
      </c>
      <c r="H84" s="85">
        <f t="shared" si="18"/>
        <v>92.312956899410565</v>
      </c>
      <c r="I84" s="86">
        <f t="shared" si="19"/>
        <v>-160728</v>
      </c>
    </row>
    <row r="85" spans="1:9" ht="15.75" thickBot="1">
      <c r="A85" s="1199"/>
      <c r="B85" s="82">
        <v>605</v>
      </c>
      <c r="C85" s="83">
        <v>11182.824000000001</v>
      </c>
      <c r="D85" s="84">
        <v>18000</v>
      </c>
      <c r="E85" s="84">
        <v>11000</v>
      </c>
      <c r="F85" s="84">
        <v>10978.573</v>
      </c>
      <c r="G85" s="84">
        <f t="shared" si="17"/>
        <v>21.42699999999968</v>
      </c>
      <c r="H85" s="85">
        <f t="shared" si="18"/>
        <v>99.805209090909102</v>
      </c>
      <c r="I85" s="86">
        <f t="shared" si="19"/>
        <v>-7000</v>
      </c>
    </row>
    <row r="86" spans="1:9" ht="15.75" thickBot="1">
      <c r="A86" s="1199"/>
      <c r="B86" s="82">
        <v>606</v>
      </c>
      <c r="C86" s="83">
        <v>1573.942</v>
      </c>
      <c r="D86" s="84">
        <v>0</v>
      </c>
      <c r="E86" s="84">
        <v>985.46</v>
      </c>
      <c r="F86" s="84">
        <v>623.755</v>
      </c>
      <c r="G86" s="84">
        <f t="shared" si="17"/>
        <v>361.70500000000004</v>
      </c>
      <c r="H86" s="85">
        <f t="shared" si="18"/>
        <v>63.295821240841846</v>
      </c>
      <c r="I86" s="86">
        <f t="shared" si="19"/>
        <v>985.46</v>
      </c>
    </row>
    <row r="87" spans="1:9" ht="15.75" thickBot="1">
      <c r="A87" s="1199"/>
      <c r="B87" s="82">
        <v>231</v>
      </c>
      <c r="C87" s="83">
        <v>1275168.1410000001</v>
      </c>
      <c r="D87" s="84">
        <v>2000000</v>
      </c>
      <c r="E87" s="84">
        <v>1814180</v>
      </c>
      <c r="F87" s="84">
        <v>1327225.8238899999</v>
      </c>
      <c r="G87" s="84">
        <f t="shared" si="17"/>
        <v>486954.17611000012</v>
      </c>
      <c r="H87" s="85">
        <f t="shared" si="18"/>
        <v>73.158442044890805</v>
      </c>
      <c r="I87" s="86">
        <f t="shared" si="19"/>
        <v>-185820</v>
      </c>
    </row>
    <row r="88" spans="1:9" ht="15.75" thickBot="1">
      <c r="A88" s="1199"/>
      <c r="B88" s="82" t="s">
        <v>335</v>
      </c>
      <c r="C88" s="83"/>
      <c r="D88" s="84">
        <v>2012050</v>
      </c>
      <c r="E88" s="84"/>
      <c r="F88" s="84">
        <v>0</v>
      </c>
      <c r="G88" s="84">
        <f t="shared" si="17"/>
        <v>0</v>
      </c>
      <c r="H88" s="85" t="e">
        <f t="shared" si="18"/>
        <v>#DIV/0!</v>
      </c>
      <c r="I88" s="86">
        <f t="shared" si="19"/>
        <v>-2012050</v>
      </c>
    </row>
    <row r="89" spans="1:9" ht="29.25" thickBot="1">
      <c r="A89" s="1200"/>
      <c r="B89" s="89" t="s">
        <v>336</v>
      </c>
      <c r="C89" s="103">
        <v>2354666.0460000001</v>
      </c>
      <c r="D89" s="90">
        <v>5462050</v>
      </c>
      <c r="E89" s="90">
        <f>SUM(E80:E88)</f>
        <v>2986859.4809999997</v>
      </c>
      <c r="F89" s="90">
        <f>SUM(F80:F88)</f>
        <v>2400316.9537199996</v>
      </c>
      <c r="G89" s="90">
        <f>SUM(G80:G88)</f>
        <v>586542.52728000027</v>
      </c>
      <c r="H89" s="91">
        <f t="shared" si="18"/>
        <v>80.362567070492858</v>
      </c>
      <c r="I89" s="90">
        <f>SUM(I80:I88)</f>
        <v>-2475190.5189999999</v>
      </c>
    </row>
    <row r="90" spans="1:9">
      <c r="A90" s="57"/>
      <c r="B90" s="57"/>
      <c r="C90" s="92">
        <v>0</v>
      </c>
      <c r="D90" s="94">
        <v>0</v>
      </c>
      <c r="E90" s="94">
        <v>-2374844</v>
      </c>
      <c r="F90" s="95">
        <v>0</v>
      </c>
      <c r="G90" s="94">
        <v>0</v>
      </c>
      <c r="H90" s="101"/>
      <c r="I90" s="94"/>
    </row>
    <row r="91" spans="1:9" ht="15.75" thickBot="1">
      <c r="A91" s="57"/>
      <c r="B91" s="57"/>
      <c r="C91" s="92">
        <v>2354666.0460000001</v>
      </c>
      <c r="D91" s="94">
        <v>5382050</v>
      </c>
      <c r="E91" s="94">
        <v>3007206</v>
      </c>
      <c r="F91" s="95">
        <v>2354666.0460000001</v>
      </c>
      <c r="G91" s="94">
        <v>652539.95400000003</v>
      </c>
      <c r="H91" s="101"/>
      <c r="I91" s="94"/>
    </row>
    <row r="92" spans="1:9" ht="42">
      <c r="A92" s="1195" t="s">
        <v>343</v>
      </c>
      <c r="B92" s="104" t="s">
        <v>328</v>
      </c>
      <c r="C92" s="105" t="s">
        <v>107</v>
      </c>
      <c r="D92" s="105" t="s">
        <v>330</v>
      </c>
      <c r="E92" s="105" t="s">
        <v>331</v>
      </c>
      <c r="F92" s="106" t="s">
        <v>107</v>
      </c>
      <c r="G92" s="107" t="s">
        <v>332</v>
      </c>
      <c r="H92" s="108" t="s">
        <v>333</v>
      </c>
      <c r="I92" s="109" t="s">
        <v>334</v>
      </c>
    </row>
    <row r="93" spans="1:9">
      <c r="A93" s="1196"/>
      <c r="B93" s="110">
        <v>600</v>
      </c>
      <c r="C93" s="111">
        <v>8488505.2215</v>
      </c>
      <c r="D93" s="111">
        <v>8866684</v>
      </c>
      <c r="E93" s="111">
        <f>E2+E15+E28+E41+E54+E67+E80</f>
        <v>9928530.0979999993</v>
      </c>
      <c r="F93" s="111">
        <f>F2+F15+F28+F41+F54+F67+F80</f>
        <v>9871511.7870000005</v>
      </c>
      <c r="G93" s="111">
        <f>G2+G15+G28+G41+G54+G67+G80</f>
        <v>57018.311000000074</v>
      </c>
      <c r="H93" s="112">
        <f>F93/E93*100</f>
        <v>99.425712462598213</v>
      </c>
      <c r="I93" s="111">
        <f>I2+I15+I28+I41+I54+I67+I80</f>
        <v>130626.09800000006</v>
      </c>
    </row>
    <row r="94" spans="1:9">
      <c r="A94" s="1196"/>
      <c r="B94" s="110">
        <v>601</v>
      </c>
      <c r="C94" s="111">
        <v>1460354.3624999998</v>
      </c>
      <c r="D94" s="111">
        <v>1526300</v>
      </c>
      <c r="E94" s="111">
        <f t="shared" ref="E94:G101" si="20">E3+E16+E29+E42+E55+E68+E81</f>
        <v>1664860</v>
      </c>
      <c r="F94" s="111">
        <f t="shared" si="20"/>
        <v>1649777.8230000001</v>
      </c>
      <c r="G94" s="111">
        <f t="shared" si="20"/>
        <v>15082.176999999974</v>
      </c>
      <c r="H94" s="112">
        <f t="shared" ref="H94:H103" si="21">F94/E94*100</f>
        <v>99.094087370709858</v>
      </c>
      <c r="I94" s="111">
        <f t="shared" ref="I94:I101" si="22">I3+I16+I29+I42+I55+I68+I81</f>
        <v>-31143314</v>
      </c>
    </row>
    <row r="95" spans="1:9">
      <c r="A95" s="1196"/>
      <c r="B95" s="110">
        <v>602</v>
      </c>
      <c r="C95" s="111">
        <v>6750920.5382500002</v>
      </c>
      <c r="D95" s="111">
        <v>7333836</v>
      </c>
      <c r="E95" s="111">
        <f t="shared" si="20"/>
        <v>7920268</v>
      </c>
      <c r="F95" s="111">
        <f t="shared" si="20"/>
        <v>7731424.9160400005</v>
      </c>
      <c r="G95" s="111">
        <f t="shared" si="20"/>
        <v>188843.08396000005</v>
      </c>
      <c r="H95" s="112">
        <f t="shared" si="21"/>
        <v>97.61569830768353</v>
      </c>
      <c r="I95" s="111">
        <f t="shared" si="22"/>
        <v>-10170208</v>
      </c>
    </row>
    <row r="96" spans="1:9">
      <c r="A96" s="1196"/>
      <c r="B96" s="110">
        <v>603</v>
      </c>
      <c r="C96" s="111">
        <v>0</v>
      </c>
      <c r="D96" s="111">
        <v>0</v>
      </c>
      <c r="E96" s="111">
        <f t="shared" si="20"/>
        <v>0</v>
      </c>
      <c r="F96" s="111">
        <f t="shared" si="20"/>
        <v>0</v>
      </c>
      <c r="G96" s="111">
        <f t="shared" si="20"/>
        <v>0</v>
      </c>
      <c r="H96" s="112" t="e">
        <f t="shared" si="21"/>
        <v>#DIV/0!</v>
      </c>
      <c r="I96" s="111">
        <f t="shared" si="22"/>
        <v>-2134800</v>
      </c>
    </row>
    <row r="97" spans="1:9">
      <c r="A97" s="1196"/>
      <c r="B97" s="110">
        <v>604</v>
      </c>
      <c r="C97" s="111">
        <v>6127240.2199999997</v>
      </c>
      <c r="D97" s="111">
        <v>6000000</v>
      </c>
      <c r="E97" s="111">
        <f t="shared" si="20"/>
        <v>5868230</v>
      </c>
      <c r="F97" s="111">
        <f t="shared" si="20"/>
        <v>5819088.88583</v>
      </c>
      <c r="G97" s="111">
        <f t="shared" si="20"/>
        <v>49141.114170000073</v>
      </c>
      <c r="H97" s="112">
        <f t="shared" si="21"/>
        <v>99.162590522695936</v>
      </c>
      <c r="I97" s="111">
        <f t="shared" si="22"/>
        <v>-1889670</v>
      </c>
    </row>
    <row r="98" spans="1:9">
      <c r="A98" s="1196"/>
      <c r="B98" s="110">
        <v>605</v>
      </c>
      <c r="C98" s="111">
        <v>476197.82400000002</v>
      </c>
      <c r="D98" s="111">
        <v>293424</v>
      </c>
      <c r="E98" s="111">
        <f t="shared" si="20"/>
        <v>11000</v>
      </c>
      <c r="F98" s="111">
        <f t="shared" si="20"/>
        <v>10978.573</v>
      </c>
      <c r="G98" s="111">
        <f t="shared" si="20"/>
        <v>21.42699999999968</v>
      </c>
      <c r="H98" s="112">
        <f t="shared" si="21"/>
        <v>99.805209090909102</v>
      </c>
      <c r="I98" s="111">
        <f t="shared" si="22"/>
        <v>-5207000</v>
      </c>
    </row>
    <row r="99" spans="1:9">
      <c r="A99" s="1196"/>
      <c r="B99" s="110">
        <v>606</v>
      </c>
      <c r="C99" s="111">
        <v>624838.57088999997</v>
      </c>
      <c r="D99" s="111">
        <v>516250</v>
      </c>
      <c r="E99" s="111">
        <f t="shared" si="20"/>
        <v>619466.147</v>
      </c>
      <c r="F99" s="111">
        <f t="shared" si="20"/>
        <v>590175.24</v>
      </c>
      <c r="G99" s="111">
        <f t="shared" si="20"/>
        <v>29290.907000000014</v>
      </c>
      <c r="H99" s="112">
        <f t="shared" si="21"/>
        <v>95.27158874752844</v>
      </c>
      <c r="I99" s="111">
        <f t="shared" si="22"/>
        <v>-5655033.8530000001</v>
      </c>
    </row>
    <row r="100" spans="1:9">
      <c r="A100" s="1196"/>
      <c r="B100" s="110">
        <v>231</v>
      </c>
      <c r="C100" s="111">
        <v>10153292.248</v>
      </c>
      <c r="D100" s="111">
        <v>15937000</v>
      </c>
      <c r="E100" s="111">
        <f t="shared" si="20"/>
        <v>13627186</v>
      </c>
      <c r="F100" s="111">
        <f t="shared" si="20"/>
        <v>12213048.818710001</v>
      </c>
      <c r="G100" s="111">
        <f t="shared" si="20"/>
        <v>1414137.18129</v>
      </c>
      <c r="H100" s="112">
        <f t="shared" si="21"/>
        <v>89.622676455065644</v>
      </c>
      <c r="I100" s="111">
        <f t="shared" si="22"/>
        <v>-61138374</v>
      </c>
    </row>
    <row r="101" spans="1:9">
      <c r="A101" s="1196"/>
      <c r="B101" s="110" t="s">
        <v>335</v>
      </c>
      <c r="C101" s="111">
        <v>0</v>
      </c>
      <c r="D101" s="111">
        <v>12212050</v>
      </c>
      <c r="E101" s="111">
        <f t="shared" si="20"/>
        <v>11102400</v>
      </c>
      <c r="F101" s="111">
        <f t="shared" si="20"/>
        <v>0</v>
      </c>
      <c r="G101" s="111">
        <f t="shared" si="20"/>
        <v>11102400</v>
      </c>
      <c r="H101" s="112">
        <f t="shared" si="21"/>
        <v>0</v>
      </c>
      <c r="I101" s="111">
        <f t="shared" si="22"/>
        <v>-1109650</v>
      </c>
    </row>
    <row r="102" spans="1:9" ht="15.75" thickBot="1">
      <c r="A102" s="1197"/>
      <c r="B102" s="113" t="s">
        <v>336</v>
      </c>
      <c r="C102" s="114">
        <v>34081348.985139996</v>
      </c>
      <c r="D102" s="114">
        <v>52685544</v>
      </c>
      <c r="E102" s="114">
        <f>SUM(E93:E101)</f>
        <v>50741940.244999997</v>
      </c>
      <c r="F102" s="115">
        <f>SUM(F93:F101)</f>
        <v>37886006.043580003</v>
      </c>
      <c r="G102" s="116">
        <f>SUM(G93:G101)</f>
        <v>12855934.20142</v>
      </c>
      <c r="H102" s="117">
        <f t="shared" si="21"/>
        <v>74.66408627784628</v>
      </c>
      <c r="I102" s="116">
        <f>SUM(I93:I101)</f>
        <v>-118317423.755</v>
      </c>
    </row>
    <row r="103" spans="1:9">
      <c r="A103" s="57"/>
      <c r="B103" s="57"/>
      <c r="C103" s="57"/>
      <c r="D103" s="93">
        <v>52685544</v>
      </c>
      <c r="E103" s="93">
        <f>E11+E24+E37+E50+E63+E76+E89</f>
        <v>50741940.244999997</v>
      </c>
      <c r="F103" s="93">
        <f>F11+F24+F37+F50+F63+F76+F89</f>
        <v>37886006.043580011</v>
      </c>
      <c r="G103" s="93">
        <f>G11+G24+G37+G50+G63+G76+G89</f>
        <v>12855934.201420002</v>
      </c>
      <c r="H103" s="112">
        <f t="shared" si="21"/>
        <v>74.664086277846295</v>
      </c>
      <c r="I103" s="93">
        <f>I11+I24+I37+I50+I63+I76+I89</f>
        <v>-118317423.755</v>
      </c>
    </row>
    <row r="104" spans="1:9">
      <c r="A104" s="57"/>
      <c r="B104" s="57"/>
      <c r="C104" s="92"/>
      <c r="D104" s="93">
        <v>0</v>
      </c>
      <c r="E104" s="93">
        <f>E102-E103</f>
        <v>0</v>
      </c>
      <c r="F104" s="93">
        <f>F102-F103</f>
        <v>0</v>
      </c>
      <c r="G104" s="93">
        <f>G102-G103</f>
        <v>0</v>
      </c>
      <c r="H104" s="96">
        <f>H102-H103</f>
        <v>0</v>
      </c>
      <c r="I104" s="93">
        <f>I102-I103</f>
        <v>0</v>
      </c>
    </row>
    <row r="105" spans="1:9">
      <c r="A105" s="57"/>
      <c r="B105" s="57"/>
      <c r="C105" s="92"/>
      <c r="D105" s="92"/>
      <c r="E105" s="118">
        <f>E104/1000</f>
        <v>0</v>
      </c>
      <c r="F105" s="118">
        <f>F104/1000</f>
        <v>0</v>
      </c>
      <c r="G105" s="93"/>
      <c r="H105" s="119"/>
      <c r="I105" s="92"/>
    </row>
    <row r="106" spans="1:9">
      <c r="A106" s="57"/>
      <c r="B106" s="57"/>
      <c r="C106" s="92"/>
      <c r="D106" s="120" t="s">
        <v>344</v>
      </c>
      <c r="E106" s="121">
        <f>3496485460/1000</f>
        <v>3496485.46</v>
      </c>
      <c r="F106" s="121">
        <f>890218488.63/1000</f>
        <v>890218.48863000004</v>
      </c>
      <c r="G106" s="93"/>
      <c r="H106" s="119"/>
      <c r="I106" s="92"/>
    </row>
    <row r="107" spans="1:9">
      <c r="E107" s="41">
        <f>E89-E106</f>
        <v>-509625.97900000028</v>
      </c>
      <c r="F107" s="41">
        <f>F89-F106</f>
        <v>1510098.4650899996</v>
      </c>
    </row>
  </sheetData>
  <mergeCells count="8">
    <mergeCell ref="A92:A102"/>
    <mergeCell ref="A1:A11"/>
    <mergeCell ref="A14:A24"/>
    <mergeCell ref="A27:A37"/>
    <mergeCell ref="A40:A50"/>
    <mergeCell ref="A53:A63"/>
    <mergeCell ref="A66:A76"/>
    <mergeCell ref="A79:A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4"/>
  <sheetViews>
    <sheetView topLeftCell="B1" zoomScale="120" zoomScaleNormal="120" workbookViewId="0">
      <selection activeCell="G25" sqref="G25"/>
    </sheetView>
  </sheetViews>
  <sheetFormatPr defaultRowHeight="15"/>
  <cols>
    <col min="1" max="1" width="3" style="34" customWidth="1"/>
    <col min="2" max="2" width="2" style="34" customWidth="1"/>
    <col min="3" max="3" width="4.42578125" style="34" customWidth="1"/>
    <col min="4" max="4" width="38.42578125" style="34" customWidth="1"/>
    <col min="5" max="5" width="13.5703125" style="34" customWidth="1"/>
    <col min="6" max="6" width="8.5703125" style="233" customWidth="1"/>
    <col min="7" max="7" width="14.140625" style="34" customWidth="1"/>
    <col min="8" max="8" width="10.42578125" style="233" customWidth="1"/>
    <col min="9" max="9" width="15.5703125" style="34" customWidth="1"/>
    <col min="10" max="10" width="7" style="233" customWidth="1"/>
    <col min="11" max="11" width="8.140625" style="34" customWidth="1"/>
    <col min="12" max="12" width="14.140625" style="34" customWidth="1"/>
    <col min="13" max="13" width="6.5703125" style="233" customWidth="1"/>
    <col min="14" max="14" width="14" style="34" customWidth="1"/>
    <col min="15" max="15" width="7.85546875" style="34" customWidth="1"/>
    <col min="16" max="16" width="9.140625" style="34" customWidth="1"/>
    <col min="17" max="16384" width="9.140625" style="34"/>
  </cols>
  <sheetData>
    <row r="1" spans="1:15" s="206" customFormat="1" ht="11.25">
      <c r="A1" s="268"/>
      <c r="B1" s="295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15" s="206" customFormat="1" ht="11.25">
      <c r="A2" s="268"/>
      <c r="B2" s="1217" t="s">
        <v>0</v>
      </c>
      <c r="C2" s="1217"/>
      <c r="D2" s="1217"/>
      <c r="E2" s="1217"/>
      <c r="F2" s="1217"/>
      <c r="G2" s="1217"/>
      <c r="H2" s="1217"/>
      <c r="I2" s="1217"/>
      <c r="J2" s="1217"/>
      <c r="K2" s="1217"/>
      <c r="L2" s="1217"/>
      <c r="M2" s="1217"/>
      <c r="N2" s="1217"/>
      <c r="O2" s="1217"/>
    </row>
    <row r="3" spans="1:15" s="206" customFormat="1" ht="11.25">
      <c r="A3" s="268"/>
      <c r="B3" s="1218" t="s">
        <v>498</v>
      </c>
      <c r="C3" s="1218"/>
      <c r="D3" s="1218"/>
      <c r="E3" s="1218"/>
      <c r="F3" s="1218"/>
      <c r="G3" s="1218"/>
      <c r="H3" s="1218"/>
      <c r="I3" s="1218"/>
      <c r="J3" s="1218"/>
      <c r="K3" s="1218"/>
      <c r="L3" s="1218"/>
      <c r="M3" s="1218"/>
      <c r="N3" s="1218"/>
      <c r="O3" s="1218"/>
    </row>
    <row r="4" spans="1:15" s="206" customFormat="1" ht="12" thickBot="1">
      <c r="A4" s="268"/>
      <c r="B4" s="1219" t="s">
        <v>1</v>
      </c>
      <c r="C4" s="1219"/>
      <c r="D4" s="1219"/>
      <c r="E4" s="1219"/>
      <c r="F4" s="1219"/>
      <c r="G4" s="1219"/>
      <c r="H4" s="1219"/>
      <c r="I4" s="1219"/>
      <c r="J4" s="1219"/>
      <c r="K4" s="1219"/>
      <c r="L4" s="1219"/>
      <c r="M4" s="1219"/>
      <c r="N4" s="1219"/>
      <c r="O4" s="1219"/>
    </row>
    <row r="5" spans="1:15" s="206" customFormat="1" ht="21" customHeight="1" thickTop="1">
      <c r="A5" s="295"/>
      <c r="B5" s="1220" t="s">
        <v>2</v>
      </c>
      <c r="C5" s="1220"/>
      <c r="D5" s="1221" t="s">
        <v>160</v>
      </c>
      <c r="E5" s="1221"/>
      <c r="F5" s="1221"/>
      <c r="G5" s="1222" t="s">
        <v>3</v>
      </c>
      <c r="H5" s="1222"/>
      <c r="I5" s="1222"/>
      <c r="J5" s="1222"/>
      <c r="K5" s="1223">
        <v>17</v>
      </c>
      <c r="L5" s="1223"/>
      <c r="M5" s="1223"/>
      <c r="N5" s="1223"/>
      <c r="O5" s="1223"/>
    </row>
    <row r="6" spans="1:15" ht="15.75" thickBot="1">
      <c r="A6" s="62"/>
      <c r="B6" s="1226" t="s">
        <v>4</v>
      </c>
      <c r="C6" s="1226"/>
      <c r="D6" s="1226"/>
      <c r="E6" s="1227" t="s">
        <v>5</v>
      </c>
      <c r="F6" s="1227"/>
      <c r="G6" s="1227"/>
      <c r="H6" s="1227"/>
      <c r="I6" s="1227"/>
      <c r="J6" s="1227"/>
      <c r="K6" s="1227"/>
      <c r="L6" s="1227"/>
      <c r="M6" s="1227"/>
      <c r="N6" s="1227"/>
      <c r="O6" s="1227"/>
    </row>
    <row r="7" spans="1:15" ht="19.5" customHeight="1" thickTop="1" thickBot="1">
      <c r="A7" s="62"/>
      <c r="B7" s="1226"/>
      <c r="C7" s="1226"/>
      <c r="D7" s="1226"/>
      <c r="E7" s="1214" t="s">
        <v>499</v>
      </c>
      <c r="F7" s="1214"/>
      <c r="G7" s="1214" t="s">
        <v>6</v>
      </c>
      <c r="H7" s="1214"/>
      <c r="I7" s="1214" t="s">
        <v>6</v>
      </c>
      <c r="J7" s="1214"/>
      <c r="K7" s="762" t="s">
        <v>6</v>
      </c>
      <c r="L7" s="1215" t="s">
        <v>6</v>
      </c>
      <c r="M7" s="1215"/>
      <c r="N7" s="1216" t="s">
        <v>7</v>
      </c>
      <c r="O7" s="1224" t="s">
        <v>8</v>
      </c>
    </row>
    <row r="8" spans="1:15" ht="48" customHeight="1" thickTop="1" thickBot="1">
      <c r="A8" s="62"/>
      <c r="B8" s="1226"/>
      <c r="C8" s="1226"/>
      <c r="D8" s="1226"/>
      <c r="E8" s="599" t="s">
        <v>9</v>
      </c>
      <c r="F8" s="600" t="s">
        <v>10</v>
      </c>
      <c r="G8" s="601" t="s">
        <v>495</v>
      </c>
      <c r="H8" s="602" t="s">
        <v>10</v>
      </c>
      <c r="I8" s="601" t="s">
        <v>496</v>
      </c>
      <c r="J8" s="602" t="s">
        <v>10</v>
      </c>
      <c r="K8" s="603" t="s">
        <v>11</v>
      </c>
      <c r="L8" s="601" t="s">
        <v>12</v>
      </c>
      <c r="M8" s="602" t="s">
        <v>10</v>
      </c>
      <c r="N8" s="1216"/>
      <c r="O8" s="1224"/>
    </row>
    <row r="9" spans="1:15" ht="16.5" thickTop="1" thickBot="1">
      <c r="A9" s="62"/>
      <c r="B9" s="1226"/>
      <c r="C9" s="1226"/>
      <c r="D9" s="1226"/>
      <c r="E9" s="604" t="s">
        <v>13</v>
      </c>
      <c r="F9" s="604" t="s">
        <v>14</v>
      </c>
      <c r="G9" s="604" t="s">
        <v>15</v>
      </c>
      <c r="H9" s="604" t="s">
        <v>16</v>
      </c>
      <c r="I9" s="604" t="s">
        <v>17</v>
      </c>
      <c r="J9" s="604" t="s">
        <v>18</v>
      </c>
      <c r="K9" s="604" t="s">
        <v>19</v>
      </c>
      <c r="L9" s="604" t="s">
        <v>20</v>
      </c>
      <c r="M9" s="604" t="s">
        <v>21</v>
      </c>
      <c r="N9" s="604" t="s">
        <v>22</v>
      </c>
      <c r="O9" s="605" t="s">
        <v>23</v>
      </c>
    </row>
    <row r="10" spans="1:15" s="206" customFormat="1" ht="12" thickTop="1">
      <c r="A10" s="268"/>
      <c r="B10" s="1225" t="s">
        <v>24</v>
      </c>
      <c r="C10" s="1225"/>
      <c r="D10" s="1225"/>
      <c r="E10" s="296"/>
      <c r="F10" s="297"/>
      <c r="G10" s="296"/>
      <c r="H10" s="297"/>
      <c r="I10" s="296"/>
      <c r="J10" s="297"/>
      <c r="K10" s="298"/>
      <c r="L10" s="296"/>
      <c r="M10" s="297"/>
      <c r="N10" s="296"/>
      <c r="O10" s="299"/>
    </row>
    <row r="11" spans="1:15" s="206" customFormat="1" ht="10.5" customHeight="1">
      <c r="A11" s="268"/>
      <c r="B11" s="1212" t="s">
        <v>25</v>
      </c>
      <c r="C11" s="1212"/>
      <c r="D11" s="300" t="s">
        <v>26</v>
      </c>
      <c r="E11" s="296"/>
      <c r="F11" s="297"/>
      <c r="G11" s="296"/>
      <c r="H11" s="297"/>
      <c r="I11" s="296"/>
      <c r="J11" s="297"/>
      <c r="K11" s="301"/>
      <c r="L11" s="296"/>
      <c r="M11" s="297"/>
      <c r="N11" s="296"/>
      <c r="O11" s="299"/>
    </row>
    <row r="12" spans="1:15" s="206" customFormat="1" ht="10.5" customHeight="1">
      <c r="A12" s="268"/>
      <c r="B12" s="1213" t="s">
        <v>27</v>
      </c>
      <c r="C12" s="1213"/>
      <c r="D12" s="302" t="s">
        <v>28</v>
      </c>
      <c r="E12" s="237">
        <f>'Aneksi 2.0 Planif'!D30</f>
        <v>1656802891</v>
      </c>
      <c r="F12" s="237">
        <f>E12/E19*100</f>
        <v>4.1898968117250162</v>
      </c>
      <c r="G12" s="237">
        <f>'Aneksi 2.0 Planif'!F30</f>
        <v>1516200000</v>
      </c>
      <c r="H12" s="237">
        <f>G12/G19*100</f>
        <v>2.5720730073813507</v>
      </c>
      <c r="I12" s="237">
        <f>'Aneksi 2.0 Planif'!H30</f>
        <v>1516200000</v>
      </c>
      <c r="J12" s="243">
        <f>I12/I19*100</f>
        <v>2.5720730073813507</v>
      </c>
      <c r="K12" s="237">
        <f>I12-G12</f>
        <v>0</v>
      </c>
      <c r="L12" s="237">
        <f>'Aneksi 2.0 Planif'!K30</f>
        <v>567801454</v>
      </c>
      <c r="M12" s="237">
        <f>L12/L19*100</f>
        <v>4.385644867235702</v>
      </c>
      <c r="N12" s="238">
        <f t="shared" ref="N12:N18" si="0">I12-L12</f>
        <v>948398546</v>
      </c>
      <c r="O12" s="237">
        <f>L12/I12*100</f>
        <v>37.44898126896188</v>
      </c>
    </row>
    <row r="13" spans="1:15" s="206" customFormat="1" ht="10.5" customHeight="1">
      <c r="A13" s="268"/>
      <c r="B13" s="1213" t="s">
        <v>147</v>
      </c>
      <c r="C13" s="1213"/>
      <c r="D13" s="302" t="s">
        <v>148</v>
      </c>
      <c r="E13" s="237">
        <f>'Aneksi 2.0 Forcat e Luftimit'!D30</f>
        <v>17381334539.130001</v>
      </c>
      <c r="F13" s="237">
        <f>E13/E19*100</f>
        <v>43.955740640379346</v>
      </c>
      <c r="G13" s="237">
        <f>'Aneksi 2.0 Forcat e Luftimit'!F30</f>
        <v>31391874000</v>
      </c>
      <c r="H13" s="237">
        <f>G13/G19*100</f>
        <v>53.252995493019675</v>
      </c>
      <c r="I13" s="237">
        <f>'Aneksi 2.0 Forcat e Luftimit'!H30</f>
        <v>31391874000</v>
      </c>
      <c r="J13" s="243">
        <f>I13/I19*100</f>
        <v>53.252995493019675</v>
      </c>
      <c r="K13" s="237">
        <f t="shared" ref="K13:K18" si="1">I13-G13</f>
        <v>0</v>
      </c>
      <c r="L13" s="237">
        <f>'Aneksi 2.0 Forcat e Luftimit'!K30</f>
        <v>7026304233</v>
      </c>
      <c r="M13" s="237">
        <f>L13/L19*100</f>
        <v>54.270511070394235</v>
      </c>
      <c r="N13" s="238">
        <f t="shared" si="0"/>
        <v>24365569767</v>
      </c>
      <c r="O13" s="237">
        <f t="shared" ref="O13:O18" si="2">L13/I13*100</f>
        <v>22.382557451014236</v>
      </c>
    </row>
    <row r="14" spans="1:15" s="206" customFormat="1" ht="10.5" customHeight="1">
      <c r="A14" s="268"/>
      <c r="B14" s="1213" t="s">
        <v>149</v>
      </c>
      <c r="C14" s="1213"/>
      <c r="D14" s="302" t="s">
        <v>150</v>
      </c>
      <c r="E14" s="237">
        <f>'Aneksi 2.0 MBSHT.LUFTIMIT'!D35</f>
        <v>9629528719</v>
      </c>
      <c r="F14" s="237">
        <f>E14/E19*100</f>
        <v>24.352161562079612</v>
      </c>
      <c r="G14" s="237">
        <f>'Aneksi 2.0 MBSHT.LUFTIMIT'!F35</f>
        <v>11156536000</v>
      </c>
      <c r="H14" s="237">
        <f>G14/G19*100</f>
        <v>18.925883855347781</v>
      </c>
      <c r="I14" s="237">
        <f>'Aneksi 2.0 MBSHT.LUFTIMIT'!H35</f>
        <v>11156536000</v>
      </c>
      <c r="J14" s="237">
        <f>I14/I19*100</f>
        <v>18.925883855347781</v>
      </c>
      <c r="K14" s="237">
        <f>I14-G14</f>
        <v>0</v>
      </c>
      <c r="L14" s="237">
        <f>'Aneksi 2.0 MBSHT.LUFTIMIT'!K35</f>
        <v>2503421559</v>
      </c>
      <c r="M14" s="237">
        <f>L14/L19*100</f>
        <v>19.336191961839447</v>
      </c>
      <c r="N14" s="238">
        <f t="shared" si="0"/>
        <v>8653114441</v>
      </c>
      <c r="O14" s="237">
        <f t="shared" si="2"/>
        <v>22.439057777431991</v>
      </c>
    </row>
    <row r="15" spans="1:15" s="206" customFormat="1" ht="10.5" customHeight="1">
      <c r="A15" s="268"/>
      <c r="B15" s="1213" t="s">
        <v>151</v>
      </c>
      <c r="C15" s="1213"/>
      <c r="D15" s="302" t="s">
        <v>152</v>
      </c>
      <c r="E15" s="237">
        <f>'Aneksi 2.0 Mbësht .Shëndetësinë'!D30</f>
        <v>1902997030</v>
      </c>
      <c r="F15" s="237">
        <f>E15/E19*100</f>
        <v>4.8124983557378247</v>
      </c>
      <c r="G15" s="237">
        <f>'Aneksi 2.0 Mbësht .Shëndetësinë'!F30</f>
        <v>2134800000</v>
      </c>
      <c r="H15" s="237">
        <f>G15/G19*100</f>
        <v>3.6214625090078534</v>
      </c>
      <c r="I15" s="237">
        <f>'Aneksi 2.0 Mbësht .Shëndetësinë'!H30</f>
        <v>2134800000</v>
      </c>
      <c r="J15" s="237">
        <f>I15/I19*100</f>
        <v>3.6214625090078534</v>
      </c>
      <c r="K15" s="237">
        <f>I15-G15</f>
        <v>0</v>
      </c>
      <c r="L15" s="237">
        <f>'Aneksi 2.0 Mbësht .Shëndetësinë'!K30</f>
        <v>454499203</v>
      </c>
      <c r="M15" s="237">
        <f>L15/L19*100</f>
        <v>3.5105089688616182</v>
      </c>
      <c r="N15" s="238">
        <f t="shared" si="0"/>
        <v>1680300797</v>
      </c>
      <c r="O15" s="237">
        <f t="shared" si="2"/>
        <v>21.290013256511148</v>
      </c>
    </row>
    <row r="16" spans="1:15" s="206" customFormat="1" ht="10.5" customHeight="1">
      <c r="A16" s="268"/>
      <c r="B16" s="1213" t="s">
        <v>153</v>
      </c>
      <c r="C16" s="1213"/>
      <c r="D16" s="302" t="s">
        <v>154</v>
      </c>
      <c r="E16" s="237">
        <f>'Aneksi 2.0 Arsimi Ushtarak'!D32</f>
        <v>1342870806</v>
      </c>
      <c r="F16" s="237">
        <f>E16/E19*100</f>
        <v>3.3959924497850258</v>
      </c>
      <c r="G16" s="237">
        <f>'Aneksi 2.0 Arsimi Ushtarak'!F32</f>
        <v>1757900000</v>
      </c>
      <c r="H16" s="237">
        <f>G16/G19*100</f>
        <v>2.9820915048645804</v>
      </c>
      <c r="I16" s="237">
        <f>'Aneksi 2.0 Arsimi Ushtarak'!H32</f>
        <v>1757900000</v>
      </c>
      <c r="J16" s="243">
        <f>I16/I19*100</f>
        <v>2.9820915048645804</v>
      </c>
      <c r="K16" s="237">
        <f t="shared" si="1"/>
        <v>0</v>
      </c>
      <c r="L16" s="237">
        <f>'Aneksi 2.0 Arsimi Ushtarak'!K32</f>
        <v>248866549</v>
      </c>
      <c r="M16" s="237">
        <f>L16/L19*100</f>
        <v>1.9222217476894881</v>
      </c>
      <c r="N16" s="238">
        <f t="shared" si="0"/>
        <v>1509033451</v>
      </c>
      <c r="O16" s="237">
        <f t="shared" si="2"/>
        <v>14.157036748392967</v>
      </c>
    </row>
    <row r="17" spans="1:15" s="206" customFormat="1" ht="10.5" customHeight="1">
      <c r="A17" s="268"/>
      <c r="B17" s="1213" t="s">
        <v>155</v>
      </c>
      <c r="C17" s="1213"/>
      <c r="D17" s="302" t="s">
        <v>156</v>
      </c>
      <c r="E17" s="237">
        <f>'Aneksi 2.0 Mbeshtet. Ushtaraket'!D32</f>
        <v>5228958000</v>
      </c>
      <c r="F17" s="237">
        <f>E17/E19*100</f>
        <v>13.223537073634922</v>
      </c>
      <c r="G17" s="237">
        <f>'Aneksi 2.0 Mbeshtet. Ushtaraket'!F32</f>
        <v>5200000000</v>
      </c>
      <c r="H17" s="237">
        <f>G17/G19*100</f>
        <v>8.821250256155535</v>
      </c>
      <c r="I17" s="237">
        <f>'Aneksi 2.0 Mbeshtet. Ushtaraket'!H32</f>
        <v>5200000000</v>
      </c>
      <c r="J17" s="243">
        <f>I17/I19*100</f>
        <v>8.821250256155535</v>
      </c>
      <c r="K17" s="237">
        <f t="shared" si="1"/>
        <v>0</v>
      </c>
      <c r="L17" s="237">
        <f>'Aneksi 2.0 Mbeshtet. Ushtaraket'!K32</f>
        <v>2000000000</v>
      </c>
      <c r="M17" s="237">
        <f>L17/L19*100</f>
        <v>15.447811330316538</v>
      </c>
      <c r="N17" s="238">
        <f t="shared" si="0"/>
        <v>3200000000</v>
      </c>
      <c r="O17" s="237">
        <f t="shared" si="2"/>
        <v>38.461538461538467</v>
      </c>
    </row>
    <row r="18" spans="1:15" s="206" customFormat="1" ht="10.5" customHeight="1" thickBot="1">
      <c r="A18" s="268"/>
      <c r="B18" s="1213" t="s">
        <v>157</v>
      </c>
      <c r="C18" s="1213"/>
      <c r="D18" s="302" t="s">
        <v>158</v>
      </c>
      <c r="E18" s="237">
        <f>'Aneksi 2.0 Emergjencat Civile'!D30</f>
        <v>2400316953.8299999</v>
      </c>
      <c r="F18" s="237">
        <f>E18/E19*100</f>
        <v>6.0701731066582374</v>
      </c>
      <c r="G18" s="237">
        <f>'Aneksi 2.0 Emergjencat Civile'!F30</f>
        <v>5791250000</v>
      </c>
      <c r="H18" s="237">
        <f>G18/G19*100</f>
        <v>9.8242433742232205</v>
      </c>
      <c r="I18" s="237">
        <f>'Aneksi 2.0 Emergjencat Civile'!H30</f>
        <v>5791250000</v>
      </c>
      <c r="J18" s="237">
        <f>I18/I19*100</f>
        <v>9.8242433742232205</v>
      </c>
      <c r="K18" s="237">
        <f t="shared" si="1"/>
        <v>0</v>
      </c>
      <c r="L18" s="237">
        <f>'Aneksi 2.0 Emergjencat Civile'!K30</f>
        <v>145924886</v>
      </c>
      <c r="M18" s="237">
        <f>L18/L19*100</f>
        <v>1.1271100536629746</v>
      </c>
      <c r="N18" s="238">
        <f t="shared" si="0"/>
        <v>5645325114</v>
      </c>
      <c r="O18" s="237">
        <f t="shared" si="2"/>
        <v>2.5197476537880426</v>
      </c>
    </row>
    <row r="19" spans="1:15" s="206" customFormat="1" ht="10.5" customHeight="1" thickTop="1" thickBot="1">
      <c r="A19" s="268"/>
      <c r="B19" s="1205"/>
      <c r="C19" s="1206"/>
      <c r="D19" s="610" t="s">
        <v>29</v>
      </c>
      <c r="E19" s="597">
        <f>SUM(E12:E18)</f>
        <v>39542808938.960007</v>
      </c>
      <c r="F19" s="597">
        <v>100</v>
      </c>
      <c r="G19" s="597">
        <f>SUM(G12:G18)</f>
        <v>58948560000</v>
      </c>
      <c r="H19" s="597">
        <v>100</v>
      </c>
      <c r="I19" s="597">
        <f>SUM(I12:I18)</f>
        <v>58948560000</v>
      </c>
      <c r="J19" s="597">
        <v>100</v>
      </c>
      <c r="K19" s="597">
        <f>SUM(K12:K18)</f>
        <v>0</v>
      </c>
      <c r="L19" s="597">
        <f>SUM(L12:L18)</f>
        <v>12946817884</v>
      </c>
      <c r="M19" s="597">
        <v>100</v>
      </c>
      <c r="N19" s="597">
        <f>SUM(N12:N18)</f>
        <v>46001742116</v>
      </c>
      <c r="O19" s="598">
        <f>L19/I19*100</f>
        <v>21.962907803006555</v>
      </c>
    </row>
    <row r="20" spans="1:15" s="206" customFormat="1" ht="10.5" customHeight="1" thickTop="1">
      <c r="A20" s="268"/>
      <c r="B20" s="1210"/>
      <c r="C20" s="1210"/>
      <c r="D20" s="305" t="s">
        <v>30</v>
      </c>
      <c r="E20" s="306">
        <v>24682000</v>
      </c>
      <c r="F20" s="306"/>
      <c r="G20" s="306"/>
      <c r="H20" s="306"/>
      <c r="I20" s="306"/>
      <c r="J20" s="306"/>
      <c r="K20" s="306"/>
      <c r="L20" s="306"/>
      <c r="M20" s="306"/>
      <c r="N20" s="306"/>
      <c r="O20" s="307"/>
    </row>
    <row r="21" spans="1:15" s="206" customFormat="1" ht="10.5" customHeight="1" thickBot="1">
      <c r="A21" s="268"/>
      <c r="B21" s="1210"/>
      <c r="C21" s="1210"/>
      <c r="D21" s="305" t="s">
        <v>31</v>
      </c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7">
        <f>L21/I19*100</f>
        <v>0</v>
      </c>
    </row>
    <row r="22" spans="1:15" s="206" customFormat="1" ht="10.5" customHeight="1" thickTop="1">
      <c r="A22" s="268"/>
      <c r="B22" s="1211" t="s">
        <v>32</v>
      </c>
      <c r="C22" s="1211"/>
      <c r="D22" s="1211"/>
      <c r="E22" s="308"/>
      <c r="F22" s="309"/>
      <c r="G22" s="310"/>
      <c r="H22" s="309"/>
      <c r="I22" s="310"/>
      <c r="J22" s="309"/>
      <c r="K22" s="311"/>
      <c r="L22" s="310"/>
      <c r="M22" s="309"/>
      <c r="N22" s="310"/>
      <c r="O22" s="312"/>
    </row>
    <row r="23" spans="1:15" s="206" customFormat="1" ht="10.5" customHeight="1">
      <c r="A23" s="268"/>
      <c r="B23" s="1212" t="s">
        <v>33</v>
      </c>
      <c r="C23" s="1212"/>
      <c r="D23" s="300" t="s">
        <v>26</v>
      </c>
      <c r="E23" s="296"/>
      <c r="F23" s="297"/>
      <c r="G23" s="313"/>
      <c r="H23" s="297"/>
      <c r="I23" s="313"/>
      <c r="J23" s="297"/>
      <c r="K23" s="314"/>
      <c r="L23" s="313"/>
      <c r="M23" s="297"/>
      <c r="N23" s="313"/>
      <c r="O23" s="299"/>
    </row>
    <row r="24" spans="1:15" s="206" customFormat="1" ht="10.5" customHeight="1">
      <c r="A24" s="268"/>
      <c r="B24" s="1207" t="s">
        <v>34</v>
      </c>
      <c r="C24" s="1207"/>
      <c r="D24" s="315" t="s">
        <v>35</v>
      </c>
      <c r="E24" s="317">
        <f>'Aneksi 2.0 Planif'!D15+'Aneksi 2.0 Forcat e Luftimit'!D15+'Aneksi 2.0 MBSHT.LUFTIMIT'!D18+'Aneksi 2.0 Mbësht .Shëndetësinë'!D15+'Aneksi 2.0 Arsimi Ushtarak'!D15+'Aneksi 2.0 Mbeshtet. Ushtaraket'!D15+'Aneksi 2.0 Emergjencat Civile'!D15</f>
        <v>10536588852</v>
      </c>
      <c r="F24" s="303">
        <f>E24/E41*100</f>
        <v>26.646030305278245</v>
      </c>
      <c r="G24" s="317">
        <f>'Aneksi 2.0 Planif'!F15+'Aneksi 2.0 Forcat e Luftimit'!F15+'Aneksi 2.0 MBSHT.LUFTIMIT'!F18+'Aneksi 2.0 Mbësht .Shëndetësinë'!F15+'Aneksi 2.0 Arsimi Ushtarak'!F15+'Aneksi 2.0 Mbeshtet. Ushtaraket'!F15+'Aneksi 2.0 Emergjencat Civile'!F15</f>
        <v>11081484000</v>
      </c>
      <c r="H24" s="303">
        <f>G24/G41*100</f>
        <v>18.798566071842977</v>
      </c>
      <c r="I24" s="317">
        <f>'Aneksi 2.0 Planif'!H15+'Aneksi 2.0 Forcat e Luftimit'!H15+'Aneksi 2.0 MBSHT.LUFTIMIT'!H18+'Aneksi 2.0 Mbësht .Shëndetësinë'!H15+'Aneksi 2.0 Arsimi Ushtarak'!H15+'Aneksi 2.0 Mbeshtet. Ushtaraket'!H15+'Aneksi 2.0 Emergjencat Civile'!H15</f>
        <v>11081484000</v>
      </c>
      <c r="J24" s="303">
        <f>I24/I41*100</f>
        <v>18.798566071842977</v>
      </c>
      <c r="K24" s="303">
        <f t="shared" ref="K24:K30" si="3">I24-G24</f>
        <v>0</v>
      </c>
      <c r="L24" s="317">
        <f>'Aneksi 2.0 Planif'!K15+'Aneksi 2.0 Forcat e Luftimit'!K15+'Aneksi 2.0 MBSHT.LUFTIMIT'!K18+'Aneksi 2.0 Mbësht .Shëndetësinë'!K15+'Aneksi 2.0 Arsimi Ushtarak'!K15+'Aneksi 2.0 Mbeshtet. Ushtaraket'!K15+'Aneksi 2.0 Emergjencat Civile'!K15</f>
        <v>3688379194</v>
      </c>
      <c r="M24" s="303">
        <f>L24/L41*100</f>
        <v>28.48869295178849</v>
      </c>
      <c r="N24" s="303">
        <f t="shared" ref="N24:N36" si="4">I24-L24</f>
        <v>7393104806</v>
      </c>
      <c r="O24" s="304">
        <f>L24/I24*100</f>
        <v>33.284162969508415</v>
      </c>
    </row>
    <row r="25" spans="1:15" s="206" customFormat="1" ht="10.5" customHeight="1">
      <c r="A25" s="268"/>
      <c r="B25" s="1207" t="s">
        <v>36</v>
      </c>
      <c r="C25" s="1207"/>
      <c r="D25" s="315" t="s">
        <v>37</v>
      </c>
      <c r="E25" s="237">
        <f>'Aneksi 2.0 Planif'!D16+'Aneksi 2.0 Forcat e Luftimit'!D16+'Aneksi 2.0 MBSHT.LUFTIMIT'!D19+'Aneksi 2.0 Mbësht .Shëndetësinë'!D16+'Aneksi 2.0 Arsimi Ushtarak'!D16+'Aneksi 2.0 Mbeshtet. Ushtaraket'!D16+'Aneksi 2.0 Emergjencat Civile'!D16</f>
        <v>1757112916</v>
      </c>
      <c r="F25" s="237">
        <f>E25/E41*100</f>
        <v>4.4435713177367342</v>
      </c>
      <c r="G25" s="237">
        <f>'Aneksi 2.0 Planif'!F16+'Aneksi 2.0 Forcat e Luftimit'!F16+'Aneksi 2.0 MBSHT.LUFTIMIT'!F19+'Aneksi 2.0 Mbësht .Shëndetësinë'!F16+'Aneksi 2.0 Arsimi Ushtarak'!F16+'Aneksi 2.0 Mbeshtet. Ushtaraket'!F16+'Aneksi 2.0 Emergjencat Civile'!F16</f>
        <v>1911230000</v>
      </c>
      <c r="H25" s="237">
        <f>G25/G41*100</f>
        <v>3.2421996398215662</v>
      </c>
      <c r="I25" s="237">
        <f>'Aneksi 2.0 Planif'!H16+'Aneksi 2.0 Forcat e Luftimit'!H16+'Aneksi 2.0 MBSHT.LUFTIMIT'!H19+'Aneksi 2.0 Mbësht .Shëndetësinë'!H16+'Aneksi 2.0 Arsimi Ushtarak'!H16+'Aneksi 2.0 Mbeshtet. Ushtaraket'!H16+'Aneksi 2.0 Emergjencat Civile'!H16</f>
        <v>1911230000</v>
      </c>
      <c r="J25" s="243">
        <f>I25/I41*100</f>
        <v>3.2421996398215662</v>
      </c>
      <c r="K25" s="237">
        <f t="shared" si="3"/>
        <v>0</v>
      </c>
      <c r="L25" s="237">
        <f>'Aneksi 2.0 Planif'!K16+'Aneksi 2.0 Forcat e Luftimit'!K16+'Aneksi 2.0 MBSHT.LUFTIMIT'!K19+'Aneksi 2.0 Mbësht .Shëndetësinë'!K16+'Aneksi 2.0 Arsimi Ushtarak'!K16+'Aneksi 2.0 Mbeshtet. Ushtaraket'!K16+'Aneksi 2.0 Emergjencat Civile'!K16</f>
        <v>639270024</v>
      </c>
      <c r="M25" s="237">
        <f>L25/L41*100</f>
        <v>4.9376613599394634</v>
      </c>
      <c r="N25" s="238">
        <f>I25-L25</f>
        <v>1271959976</v>
      </c>
      <c r="O25" s="237">
        <f t="shared" ref="O25:O31" si="5">L25/I25*100</f>
        <v>33.448094891771269</v>
      </c>
    </row>
    <row r="26" spans="1:15" s="206" customFormat="1" ht="10.5" customHeight="1">
      <c r="A26" s="268"/>
      <c r="B26" s="1207" t="s">
        <v>38</v>
      </c>
      <c r="C26" s="1207"/>
      <c r="D26" s="315" t="s">
        <v>39</v>
      </c>
      <c r="E26" s="237">
        <f>'Aneksi 2.0 Planif'!D17+'Aneksi 2.0 Forcat e Luftimit'!D17+'Aneksi 2.0 MBSHT.LUFTIMIT'!D20+'Aneksi 2.0 Mbësht .Shëndetësinë'!D17+'Aneksi 2.0 Arsimi Ushtarak'!D17+'Aneksi 2.0 Mbeshtet. Ushtaraket'!D17+'Aneksi 2.0 Emergjencat Civile'!D17</f>
        <v>8252993038.04</v>
      </c>
      <c r="F26" s="237">
        <f>E26/E41*100</f>
        <v>20.871033850687088</v>
      </c>
      <c r="G26" s="237">
        <f>'Aneksi 2.0 Planif'!F17+'Aneksi 2.0 Forcat e Luftimit'!F17+'Aneksi 2.0 MBSHT.LUFTIMIT'!F20+'Aneksi 2.0 Mbësht .Shëndetësinë'!F17+'Aneksi 2.0 Arsimi Ushtarak'!F17+'Aneksi 2.0 Mbeshtet. Ushtaraket'!F17+'Aneksi 2.0 Emergjencat Civile'!F17</f>
        <v>9487687000</v>
      </c>
      <c r="H26" s="237">
        <f>G26/G41*100</f>
        <v>16.094857957514144</v>
      </c>
      <c r="I26" s="237">
        <f>'Aneksi 2.0 Planif'!H17+'Aneksi 2.0 Forcat e Luftimit'!H17+'Aneksi 2.0 MBSHT.LUFTIMIT'!H20+'Aneksi 2.0 Mbësht .Shëndetësinë'!H17+'Aneksi 2.0 Arsimi Ushtarak'!H17+'Aneksi 2.0 Mbeshtet. Ushtaraket'!H17+'Aneksi 2.0 Emergjencat Civile'!H17</f>
        <v>9487687000</v>
      </c>
      <c r="J26" s="243">
        <f>I26/I41*100</f>
        <v>16.094857957514144</v>
      </c>
      <c r="K26" s="237">
        <f t="shared" si="3"/>
        <v>0</v>
      </c>
      <c r="L26" s="237">
        <f>'Aneksi 2.0 Planif'!K17+'Aneksi 2.0 Forcat e Luftimit'!K17+'Aneksi 2.0 MBSHT.LUFTIMIT'!K20+'Aneksi 2.0 Mbësht .Shëndetësinë'!K17+'Aneksi 2.0 Arsimi Ushtarak'!K17+'Aneksi 2.0 Mbeshtet. Ushtaraket'!K17+'Aneksi 2.0 Emergjencat Civile'!K17</f>
        <v>2373288186</v>
      </c>
      <c r="M26" s="237">
        <f>L26/L41*100</f>
        <v>18.331054064898595</v>
      </c>
      <c r="N26" s="238">
        <f t="shared" si="4"/>
        <v>7114398814</v>
      </c>
      <c r="O26" s="237">
        <f t="shared" si="5"/>
        <v>25.014402203614011</v>
      </c>
    </row>
    <row r="27" spans="1:15" s="206" customFormat="1" ht="10.5" customHeight="1">
      <c r="A27" s="268"/>
      <c r="B27" s="1207" t="s">
        <v>40</v>
      </c>
      <c r="C27" s="1207"/>
      <c r="D27" s="315" t="s">
        <v>41</v>
      </c>
      <c r="E27" s="237">
        <f>'Aneksi 2.0 Planif'!D18+'Aneksi 2.0 Forcat e Luftimit'!D18+'Aneksi 2.0 MBSHT.LUFTIMIT'!D21+'Aneksi 2.0 Mbësht .Shëndetësinë'!D18+'Aneksi 2.0 Arsimi Ushtarak'!D18+'Aneksi 2.0 Mbeshtet. Ushtaraket'!D18+'Aneksi 2.0 Emergjencat Civile'!D18</f>
        <v>0</v>
      </c>
      <c r="F27" s="237">
        <f>E27/E41*100</f>
        <v>0</v>
      </c>
      <c r="G27" s="237">
        <f>'Aneksi 2.0 Planif'!F18+'Aneksi 2.0 Forcat e Luftimit'!F18+'Aneksi 2.0 MBSHT.LUFTIMIT'!F21+'Aneksi 2.0 Mbësht .Shëndetësinë'!F18+'Aneksi 2.0 Arsimi Ushtarak'!F18+'Aneksi 2.0 Mbeshtet. Ushtaraket'!F18+'Aneksi 2.0 Emergjencat Civile'!F18</f>
        <v>0</v>
      </c>
      <c r="H27" s="237">
        <f>G27/G41*100</f>
        <v>0</v>
      </c>
      <c r="I27" s="237">
        <f>'Aneksi 2.0 Planif'!H18+'Aneksi 2.0 Forcat e Luftimit'!H18+'Aneksi 2.0 MBSHT.LUFTIMIT'!H21+'Aneksi 2.0 Mbësht .Shëndetësinë'!H18+'Aneksi 2.0 Arsimi Ushtarak'!H18+'Aneksi 2.0 Mbeshtet. Ushtaraket'!H18+'Aneksi 2.0 Emergjencat Civile'!H18</f>
        <v>0</v>
      </c>
      <c r="J27" s="237">
        <f>I27/I41*100</f>
        <v>0</v>
      </c>
      <c r="K27" s="237">
        <f t="shared" si="3"/>
        <v>0</v>
      </c>
      <c r="L27" s="237">
        <f>'Aneksi 2.0 Planif'!K18+'Aneksi 2.0 Forcat e Luftimit'!K18+'Aneksi 2.0 MBSHT.LUFTIMIT'!K21+'Aneksi 2.0 Mbësht .Shëndetësinë'!K18+'Aneksi 2.0 Arsimi Ushtarak'!K18+'Aneksi 2.0 Mbeshtet. Ushtaraket'!K18+'Aneksi 2.0 Emergjencat Civile'!K18</f>
        <v>0</v>
      </c>
      <c r="M27" s="237">
        <f>L27/L41*100</f>
        <v>0</v>
      </c>
      <c r="N27" s="238">
        <f t="shared" si="4"/>
        <v>0</v>
      </c>
      <c r="O27" s="237" t="e">
        <f t="shared" si="5"/>
        <v>#DIV/0!</v>
      </c>
    </row>
    <row r="28" spans="1:15" s="206" customFormat="1" ht="10.5" customHeight="1">
      <c r="A28" s="268"/>
      <c r="B28" s="1207" t="s">
        <v>42</v>
      </c>
      <c r="C28" s="1207"/>
      <c r="D28" s="315" t="s">
        <v>43</v>
      </c>
      <c r="E28" s="237">
        <f>'Aneksi 2.0 Planif'!D19+'Aneksi 2.0 Forcat e Luftimit'!D19+'Aneksi 2.0 MBSHT.LUFTIMIT'!D22+'Aneksi 2.0 Mbësht .Shëndetësinë'!D19+'Aneksi 2.0 Arsimi Ushtarak'!D19+'Aneksi 2.0 Mbeshtet. Ushtaraket'!D19+'Aneksi 2.0 Emergjencat Civile'!D19</f>
        <v>5819088885.8299999</v>
      </c>
      <c r="F28" s="237">
        <f>E28/E41*100</f>
        <v>14.715921915421626</v>
      </c>
      <c r="G28" s="237">
        <f>'Aneksi 2.0 Planif'!F19+'Aneksi 2.0 Forcat e Luftimit'!F19+'Aneksi 2.0 MBSHT.LUFTIMIT'!F22+'Aneksi 2.0 Mbësht .Shëndetësinë'!F19+'Aneksi 2.0 Arsimi Ushtarak'!F19+'Aneksi 2.0 Mbeshtet. Ushtaraket'!F19+'Aneksi 2.0 Emergjencat Civile'!F19</f>
        <v>5700000000</v>
      </c>
      <c r="H28" s="237">
        <f>G28/G41*100</f>
        <v>9.6694473961704919</v>
      </c>
      <c r="I28" s="237">
        <f>'Aneksi 2.0 Planif'!H19+'Aneksi 2.0 Forcat e Luftimit'!H19+'Aneksi 2.0 MBSHT.LUFTIMIT'!H22+'Aneksi 2.0 Mbësht .Shëndetësinë'!H19+'Aneksi 2.0 Arsimi Ushtarak'!H19+'Aneksi 2.0 Mbeshtet. Ushtaraket'!H19+'Aneksi 2.0 Emergjencat Civile'!H19</f>
        <v>5700000000</v>
      </c>
      <c r="J28" s="237">
        <f>I28/I41*100</f>
        <v>9.6694473961704919</v>
      </c>
      <c r="K28" s="237">
        <f t="shared" si="3"/>
        <v>0</v>
      </c>
      <c r="L28" s="237">
        <f>'Aneksi 2.0 Planif'!K19+'Aneksi 2.0 Forcat e Luftimit'!K19+'Aneksi 2.0 MBSHT.LUFTIMIT'!K22+'Aneksi 2.0 Mbësht .Shëndetësinë'!K19+'Aneksi 2.0 Arsimi Ushtarak'!K19+'Aneksi 2.0 Mbeshtet. Ushtaraket'!K19+'Aneksi 2.0 Emergjencat Civile'!K19</f>
        <v>2008971865</v>
      </c>
      <c r="M28" s="237">
        <f>L28/L41*100</f>
        <v>15.517109169217076</v>
      </c>
      <c r="N28" s="238">
        <f t="shared" si="4"/>
        <v>3691028135</v>
      </c>
      <c r="O28" s="237">
        <f t="shared" si="5"/>
        <v>35.245120438596487</v>
      </c>
    </row>
    <row r="29" spans="1:15" s="206" customFormat="1" ht="10.5" customHeight="1">
      <c r="A29" s="268"/>
      <c r="B29" s="1207" t="s">
        <v>44</v>
      </c>
      <c r="C29" s="1207"/>
      <c r="D29" s="315" t="s">
        <v>45</v>
      </c>
      <c r="E29" s="237">
        <f>'Aneksi 2.0 Planif'!D20+'Aneksi 2.0 Forcat e Luftimit'!D20+'Aneksi 2.0 MBSHT.LUFTIMIT'!D23+'Aneksi 2.0 Mbësht .Shëndetësinë'!D20+'Aneksi 2.0 Arsimi Ushtarak'!D20+'Aneksi 2.0 Mbeshtet. Ushtaraket'!D20+'Aneksi 2.0 Emergjencat Civile'!D20</f>
        <v>251389673</v>
      </c>
      <c r="F29" s="237">
        <f>E29/E41*100</f>
        <v>0.63574055505833904</v>
      </c>
      <c r="G29" s="237">
        <f>'Aneksi 2.0 Planif'!F20+'Aneksi 2.0 Forcat e Luftimit'!F20+'Aneksi 2.0 MBSHT.LUFTIMIT'!F23+'Aneksi 2.0 Mbësht .Shëndetësinë'!F20+'Aneksi 2.0 Arsimi Ushtarak'!F20+'Aneksi 2.0 Mbeshtet. Ushtaraket'!F20+'Aneksi 2.0 Emergjencat Civile'!F20</f>
        <v>293424000</v>
      </c>
      <c r="H29" s="237">
        <f>G29/G41*100</f>
        <v>0.49776279522349653</v>
      </c>
      <c r="I29" s="237">
        <f>'Aneksi 2.0 Planif'!H20+'Aneksi 2.0 Forcat e Luftimit'!H20+'Aneksi 2.0 MBSHT.LUFTIMIT'!H23+'Aneksi 2.0 Mbësht .Shëndetësinë'!H20+'Aneksi 2.0 Arsimi Ushtarak'!H20+'Aneksi 2.0 Mbeshtet. Ushtaraket'!H20+'Aneksi 2.0 Emergjencat Civile'!H20</f>
        <v>293424000</v>
      </c>
      <c r="J29" s="243">
        <f>I29/I41*100</f>
        <v>0.49776279522349653</v>
      </c>
      <c r="K29" s="237">
        <f t="shared" si="3"/>
        <v>0</v>
      </c>
      <c r="L29" s="237">
        <f>'Aneksi 2.0 Planif'!K20+'Aneksi 2.0 Forcat e Luftimit'!K20+'Aneksi 2.0 MBSHT.LUFTIMIT'!K23+'Aneksi 2.0 Mbësht .Shëndetësinë'!K20+'Aneksi 2.0 Arsimi Ushtarak'!K20+'Aneksi 2.0 Mbeshtet. Ushtaraket'!K20+'Aneksi 2.0 Emergjencat Civile'!K20</f>
        <v>156610464</v>
      </c>
      <c r="M29" s="237">
        <f>L29/L41*100</f>
        <v>1.2096444501126653</v>
      </c>
      <c r="N29" s="238">
        <f t="shared" si="4"/>
        <v>136813536</v>
      </c>
      <c r="O29" s="237">
        <f t="shared" si="5"/>
        <v>53.373433665957791</v>
      </c>
    </row>
    <row r="30" spans="1:15" s="206" customFormat="1" ht="10.5" customHeight="1" thickBot="1">
      <c r="A30" s="268"/>
      <c r="B30" s="1207" t="s">
        <v>46</v>
      </c>
      <c r="C30" s="1207"/>
      <c r="D30" s="315" t="s">
        <v>47</v>
      </c>
      <c r="E30" s="317">
        <f>'Aneksi 2.0 Planif'!D21+'Aneksi 2.0 Forcat e Luftimit'!D21+'Aneksi 2.0 MBSHT.LUFTIMIT'!D24+'Aneksi 2.0 Mbësht .Shëndetësinë'!D21+'Aneksi 2.0 Arsimi Ushtarak'!D21+'Aneksi 2.0 Mbeshtet. Ushtaraket'!D21+'Aneksi 2.0 Emergjencat Civile'!D21</f>
        <v>634933054</v>
      </c>
      <c r="F30" s="303">
        <f>E30/E41*100</f>
        <v>1.6056852588962409</v>
      </c>
      <c r="G30" s="317">
        <f>'Aneksi 2.0 Planif'!F21+'Aneksi 2.0 Forcat e Luftimit'!F21+'Aneksi 2.0 MBSHT.LUFTIMIT'!F24+'Aneksi 2.0 Mbësht .Shëndetësinë'!F21+'Aneksi 2.0 Arsimi Ushtarak'!F21+'Aneksi 2.0 Mbeshtet. Ushtaraket'!F21+'Aneksi 2.0 Emergjencat Civile'!F21</f>
        <v>578685000</v>
      </c>
      <c r="H30" s="303">
        <f>G30/G41*100</f>
        <v>0.98167792393910902</v>
      </c>
      <c r="I30" s="317">
        <f>'Aneksi 2.0 Planif'!H21+'Aneksi 2.0 Forcat e Luftimit'!H21+'Aneksi 2.0 MBSHT.LUFTIMIT'!H24+'Aneksi 2.0 Mbësht .Shëndetësinë'!H21+'Aneksi 2.0 Arsimi Ushtarak'!H21+'Aneksi 2.0 Mbeshtet. Ushtaraket'!H21+'Aneksi 2.0 Emergjencat Civile'!H21</f>
        <v>578685000</v>
      </c>
      <c r="J30" s="303">
        <f>I30/I41*100</f>
        <v>0.98167792393910902</v>
      </c>
      <c r="K30" s="303">
        <f t="shared" si="3"/>
        <v>0</v>
      </c>
      <c r="L30" s="317">
        <f>'Aneksi 2.0 Planif'!K21+'Aneksi 2.0 Forcat e Luftimit'!K21+'Aneksi 2.0 MBSHT.LUFTIMIT'!K24+'Aneksi 2.0 Mbësht .Shëndetësinë'!K21+'Aneksi 2.0 Arsimi Ushtarak'!K21+'Aneksi 2.0 Mbeshtet. Ushtaraket'!K21+'Aneksi 2.0 Emergjencat Civile'!K21</f>
        <v>197338355</v>
      </c>
      <c r="M30" s="303">
        <f>L30/L41*100</f>
        <v>1.5242228381375138</v>
      </c>
      <c r="N30" s="303">
        <f t="shared" si="4"/>
        <v>381346645</v>
      </c>
      <c r="O30" s="304">
        <f t="shared" si="5"/>
        <v>34.101169893810969</v>
      </c>
    </row>
    <row r="31" spans="1:15" s="206" customFormat="1" ht="12.75" thickTop="1" thickBot="1">
      <c r="A31" s="268"/>
      <c r="B31" s="1205"/>
      <c r="C31" s="1206"/>
      <c r="D31" s="595" t="s">
        <v>48</v>
      </c>
      <c r="E31" s="596">
        <f>SUM(E24:E30)</f>
        <v>27252106418.870003</v>
      </c>
      <c r="F31" s="597">
        <f>E31/E41*100</f>
        <v>68.917983203078279</v>
      </c>
      <c r="G31" s="596">
        <f>SUM(G24:G30)</f>
        <v>29052510000</v>
      </c>
      <c r="H31" s="597">
        <f>G31/G41*100</f>
        <v>49.284511784511785</v>
      </c>
      <c r="I31" s="596">
        <f>SUM(I24:I30)</f>
        <v>29052510000</v>
      </c>
      <c r="J31" s="597">
        <f>I31/I41*100</f>
        <v>49.284511784511785</v>
      </c>
      <c r="K31" s="596">
        <f>SUM(K24:K30)</f>
        <v>0</v>
      </c>
      <c r="L31" s="596">
        <f>SUM(L24:L30)</f>
        <v>9063858088</v>
      </c>
      <c r="M31" s="597">
        <f>L31/L41*100</f>
        <v>70.008384834093803</v>
      </c>
      <c r="N31" s="596">
        <f>SUM(N24:N30)</f>
        <v>19988651912</v>
      </c>
      <c r="O31" s="612">
        <f t="shared" si="5"/>
        <v>31.198192817075014</v>
      </c>
    </row>
    <row r="32" spans="1:15" s="206" customFormat="1" ht="12" thickTop="1">
      <c r="A32" s="268"/>
      <c r="B32" s="1207" t="s">
        <v>49</v>
      </c>
      <c r="C32" s="1207"/>
      <c r="D32" s="315" t="s">
        <v>50</v>
      </c>
      <c r="E32" s="317">
        <v>140022118.73000002</v>
      </c>
      <c r="F32" s="317">
        <v>0</v>
      </c>
      <c r="G32" s="317"/>
      <c r="H32" s="317">
        <v>0</v>
      </c>
      <c r="I32" s="317"/>
      <c r="J32" s="317">
        <v>0</v>
      </c>
      <c r="K32" s="303">
        <f>I32-G32</f>
        <v>0</v>
      </c>
      <c r="L32" s="317"/>
      <c r="M32" s="317">
        <v>0</v>
      </c>
      <c r="N32" s="303">
        <f t="shared" si="4"/>
        <v>0</v>
      </c>
      <c r="O32" s="304" t="e">
        <f t="shared" ref="O32:O37" si="6">L32/I32*100</f>
        <v>#DIV/0!</v>
      </c>
    </row>
    <row r="33" spans="1:15" s="206" customFormat="1" ht="11.25">
      <c r="A33" s="268"/>
      <c r="B33" s="1207" t="s">
        <v>51</v>
      </c>
      <c r="C33" s="1207"/>
      <c r="D33" s="315" t="s">
        <v>52</v>
      </c>
      <c r="E33" s="317">
        <v>12150680395.98</v>
      </c>
      <c r="F33" s="303">
        <f>E33/E41</f>
        <v>0.30727914186342908</v>
      </c>
      <c r="G33" s="317">
        <f>'Aneksi 2.0 Planif'!F24+'Aneksi 2.0 Forcat e Luftimit'!F24+'Aneksi 2.0 MBSHT.LUFTIMIT'!F27+'Aneksi 2.0 Mbësht .Shëndetësinë'!F24+'Aneksi 2.0 Arsimi Ushtarak'!F24+'Aneksi 2.0 Mbeshtet. Ushtaraket'!F24+'Aneksi 2.0 Emergjencat Civile'!F24</f>
        <v>16884000000</v>
      </c>
      <c r="H33" s="303">
        <f>G33/G41</f>
        <v>0.28641921024025013</v>
      </c>
      <c r="I33" s="317">
        <f>'Aneksi 2.0 Planif'!H24+'Aneksi 2.0 Forcat e Luftimit'!H24+'Aneksi 2.0 MBSHT.LUFTIMIT'!H27+'Aneksi 2.0 Mbësht .Shëndetësinë'!H24+'Aneksi 2.0 Arsimi Ushtarak'!H24+'Aneksi 2.0 Mbeshtet. Ushtaraket'!H24+'Aneksi 2.0 Emergjencat Civile'!H24</f>
        <v>16884000000</v>
      </c>
      <c r="J33" s="303">
        <f>I33/I41</f>
        <v>0.28641921024025013</v>
      </c>
      <c r="K33" s="303">
        <f>I33-G33</f>
        <v>0</v>
      </c>
      <c r="L33" s="317">
        <f>'Aneksi 2.0 Planif'!K24+'Aneksi 2.0 Forcat e Luftimit'!K24+'Aneksi 2.0 MBSHT.LUFTIMIT'!K27+'Aneksi 2.0 Mbësht .Shëndetësinë'!K24+'Aneksi 2.0 Arsimi Ushtarak'!K24+'Aneksi 2.0 Mbeshtet. Ushtaraket'!K24+'Aneksi 2.0 Emergjencat Civile'!K24</f>
        <v>3865693875</v>
      </c>
      <c r="M33" s="303">
        <f>L33/L41</f>
        <v>0.29858254820880126</v>
      </c>
      <c r="N33" s="303">
        <f t="shared" si="4"/>
        <v>13018306125</v>
      </c>
      <c r="O33" s="304">
        <f>L33/I33*100</f>
        <v>22.895604566453446</v>
      </c>
    </row>
    <row r="34" spans="1:15" s="206" customFormat="1" ht="19.5" customHeight="1">
      <c r="A34" s="268"/>
      <c r="B34" s="1207"/>
      <c r="C34" s="1207"/>
      <c r="D34" s="318" t="s">
        <v>53</v>
      </c>
      <c r="E34" s="319">
        <f>E32+E33</f>
        <v>12290702514.709999</v>
      </c>
      <c r="F34" s="320">
        <f>E34/E41*100</f>
        <v>31.082016796921717</v>
      </c>
      <c r="G34" s="319">
        <f>G32+G33</f>
        <v>16884000000</v>
      </c>
      <c r="H34" s="320">
        <f>G34/G41*100</f>
        <v>28.641921024025013</v>
      </c>
      <c r="I34" s="319">
        <f>I32+I33</f>
        <v>16884000000</v>
      </c>
      <c r="J34" s="320">
        <f>I34/I41*100</f>
        <v>28.641921024025013</v>
      </c>
      <c r="K34" s="319">
        <f>K32+K33</f>
        <v>0</v>
      </c>
      <c r="L34" s="319">
        <f>L32+L33</f>
        <v>3865693875</v>
      </c>
      <c r="M34" s="320">
        <f>L34/L41*100</f>
        <v>29.858254820880127</v>
      </c>
      <c r="N34" s="319">
        <f>N32+N33</f>
        <v>13018306125</v>
      </c>
      <c r="O34" s="307">
        <f>L34/I34*100</f>
        <v>22.895604566453446</v>
      </c>
    </row>
    <row r="35" spans="1:15" s="206" customFormat="1" ht="11.25">
      <c r="A35" s="268"/>
      <c r="B35" s="1207" t="s">
        <v>49</v>
      </c>
      <c r="C35" s="1207"/>
      <c r="D35" s="315" t="s">
        <v>50</v>
      </c>
      <c r="E35" s="316">
        <f>'Aneksi 2.0 Planif'!D26+'Aneksi 2.0 Forcat e Luftimit'!D26+'Aneksi 2.0 MBSHT.LUFTIMIT'!D32</f>
        <v>0</v>
      </c>
      <c r="F35" s="317">
        <v>0</v>
      </c>
      <c r="G35" s="317">
        <v>0</v>
      </c>
      <c r="H35" s="317">
        <v>0</v>
      </c>
      <c r="I35" s="791"/>
      <c r="J35" s="791">
        <v>0</v>
      </c>
      <c r="K35" s="792">
        <f>I35-G35</f>
        <v>0</v>
      </c>
      <c r="L35" s="791"/>
      <c r="M35" s="791">
        <v>0</v>
      </c>
      <c r="N35" s="303">
        <f t="shared" si="4"/>
        <v>0</v>
      </c>
      <c r="O35" s="304" t="e">
        <f t="shared" si="6"/>
        <v>#DIV/0!</v>
      </c>
    </row>
    <row r="36" spans="1:15" s="206" customFormat="1" ht="11.25">
      <c r="A36" s="268"/>
      <c r="B36" s="1207" t="s">
        <v>51</v>
      </c>
      <c r="C36" s="1207"/>
      <c r="D36" s="315" t="s">
        <v>52</v>
      </c>
      <c r="E36" s="316"/>
      <c r="F36" s="317">
        <v>0.4</v>
      </c>
      <c r="G36" s="317">
        <f>'Aneksi 2.0 Planif'!F27+'Aneksi 2.0 Forcat e Luftimit'!F27+'Aneksi 2.0 MBSHT.LUFTIMIT'!F30+'Aneksi 2.0 Mbësht .Shëndetësinë'!F27+'Aneksi 2.0 Arsimi Ushtarak'!F27+'Aneksi 2.0 Mbeshtet. Ushtaraket'!F27+'Aneksi 2.0 Emergjencat Civile'!F27</f>
        <v>13012050000</v>
      </c>
      <c r="H36" s="303">
        <v>0</v>
      </c>
      <c r="I36" s="791">
        <f>'Aneksi 2.0 Planif'!H27+'Aneksi 2.0 Forcat e Luftimit'!H27+'Aneksi 2.0 MBSHT.LUFTIMIT'!H30+'Aneksi 2.0 Mbësht .Shëndetësinë'!H27+'Aneksi 2.0 Arsimi Ushtarak'!H27+'Aneksi 2.0 Mbeshtet. Ushtaraket'!H27+'Aneksi 2.0 Emergjencat Civile'!H27</f>
        <v>13012050000</v>
      </c>
      <c r="J36" s="791">
        <v>0.4</v>
      </c>
      <c r="K36" s="792">
        <f>I36-G36</f>
        <v>0</v>
      </c>
      <c r="L36" s="791">
        <f>'Aneksi 2.0 Planif'!K27+'Aneksi 2.0 Forcat e Luftimit'!K27+'Aneksi 2.0 MBSHT.LUFTIMIT'!K30+'Aneksi 2.0 Mbësht .Shëndetësinë'!K27+'Aneksi 2.0 Arsimi Ushtarak'!K27+'Aneksi 2.0 Mbeshtet. Ushtaraket'!K27+'Aneksi 2.0 Emergjencat Civile'!K27</f>
        <v>17265921</v>
      </c>
      <c r="M36" s="791">
        <v>0.4</v>
      </c>
      <c r="N36" s="303">
        <f t="shared" si="4"/>
        <v>12994784079</v>
      </c>
      <c r="O36" s="304">
        <f t="shared" si="6"/>
        <v>0.13269178184836364</v>
      </c>
    </row>
    <row r="37" spans="1:15" s="206" customFormat="1" ht="19.5" customHeight="1">
      <c r="A37" s="268"/>
      <c r="B37" s="1207"/>
      <c r="C37" s="1207"/>
      <c r="D37" s="318" t="s">
        <v>54</v>
      </c>
      <c r="E37" s="319"/>
      <c r="F37" s="320">
        <v>0.4</v>
      </c>
      <c r="G37" s="320">
        <f>SUM(G35:G36)</f>
        <v>13012050000</v>
      </c>
      <c r="H37" s="320">
        <f>G37/G41*100</f>
        <v>22.073567191463201</v>
      </c>
      <c r="I37" s="320">
        <f>SUM(I35:I36)</f>
        <v>13012050000</v>
      </c>
      <c r="J37" s="320">
        <v>0.4</v>
      </c>
      <c r="K37" s="303"/>
      <c r="L37" s="320">
        <f>SUM(L35:L36)</f>
        <v>17265921</v>
      </c>
      <c r="M37" s="320">
        <v>0.4</v>
      </c>
      <c r="N37" s="320">
        <f>SUM(N35:N36)</f>
        <v>12994784079</v>
      </c>
      <c r="O37" s="307">
        <f t="shared" si="6"/>
        <v>0.13269178184836364</v>
      </c>
    </row>
    <row r="38" spans="1:15" s="206" customFormat="1" ht="11.25">
      <c r="A38" s="268"/>
      <c r="B38" s="1207"/>
      <c r="C38" s="1207"/>
      <c r="D38" s="318" t="s">
        <v>55</v>
      </c>
      <c r="E38" s="320">
        <f>E34</f>
        <v>12290702514.709999</v>
      </c>
      <c r="F38" s="320">
        <f>F34</f>
        <v>31.082016796921717</v>
      </c>
      <c r="G38" s="320">
        <f>G34+G37</f>
        <v>29896050000</v>
      </c>
      <c r="H38" s="320">
        <f>H34+H37</f>
        <v>50.715488215488215</v>
      </c>
      <c r="I38" s="320">
        <f>I34+I37</f>
        <v>29896050000</v>
      </c>
      <c r="J38" s="320">
        <f>J34</f>
        <v>28.641921024025013</v>
      </c>
      <c r="K38" s="320">
        <f>K34+K37</f>
        <v>0</v>
      </c>
      <c r="L38" s="320">
        <f>L34+L37</f>
        <v>3882959796</v>
      </c>
      <c r="M38" s="320">
        <f>M34</f>
        <v>29.858254820880127</v>
      </c>
      <c r="N38" s="320">
        <f>N34+N37</f>
        <v>26013090204</v>
      </c>
      <c r="O38" s="307">
        <f>L38/I38*100</f>
        <v>12.988203444936705</v>
      </c>
    </row>
    <row r="39" spans="1:15" s="206" customFormat="1" ht="20.25" customHeight="1">
      <c r="A39" s="268"/>
      <c r="B39" s="1209"/>
      <c r="C39" s="1209"/>
      <c r="D39" s="595" t="s">
        <v>56</v>
      </c>
      <c r="E39" s="611">
        <f>E31+E38</f>
        <v>39542808933.580002</v>
      </c>
      <c r="F39" s="611">
        <f>F31+F38</f>
        <v>100</v>
      </c>
      <c r="G39" s="611"/>
      <c r="H39" s="611">
        <f t="shared" ref="H39:N39" si="7">H31+H38</f>
        <v>100</v>
      </c>
      <c r="I39" s="611">
        <f t="shared" si="7"/>
        <v>58948560000</v>
      </c>
      <c r="J39" s="611">
        <f t="shared" si="7"/>
        <v>77.926432808536802</v>
      </c>
      <c r="K39" s="611">
        <f t="shared" si="7"/>
        <v>0</v>
      </c>
      <c r="L39" s="611">
        <f>L31+L38</f>
        <v>12946817884</v>
      </c>
      <c r="M39" s="611">
        <f t="shared" si="7"/>
        <v>99.866639654973937</v>
      </c>
      <c r="N39" s="611">
        <f t="shared" si="7"/>
        <v>46001742116</v>
      </c>
      <c r="O39" s="598">
        <f>L39/I39*100</f>
        <v>21.962907803006555</v>
      </c>
    </row>
    <row r="40" spans="1:15" s="206" customFormat="1" ht="18" customHeight="1">
      <c r="A40" s="268"/>
      <c r="B40" s="1207"/>
      <c r="C40" s="1207"/>
      <c r="D40" s="318" t="s">
        <v>30</v>
      </c>
      <c r="E40" s="321">
        <v>202276000</v>
      </c>
      <c r="F40" s="320"/>
      <c r="G40" s="319">
        <v>203056246</v>
      </c>
      <c r="H40" s="320"/>
      <c r="I40" s="319">
        <f>G40</f>
        <v>203056246</v>
      </c>
      <c r="J40" s="320"/>
      <c r="K40" s="320"/>
      <c r="L40" s="320">
        <v>4574427</v>
      </c>
      <c r="M40" s="320"/>
      <c r="N40" s="319">
        <f>I40-L40</f>
        <v>198481819</v>
      </c>
      <c r="O40" s="307">
        <f>L40/I40*100</f>
        <v>2.2527881264977192</v>
      </c>
    </row>
    <row r="41" spans="1:15" s="206" customFormat="1" ht="21" customHeight="1">
      <c r="A41" s="268"/>
      <c r="B41" s="1207"/>
      <c r="C41" s="1207"/>
      <c r="D41" s="318" t="s">
        <v>490</v>
      </c>
      <c r="E41" s="321">
        <f>E31+E34</f>
        <v>39542808933.580002</v>
      </c>
      <c r="F41" s="321">
        <f>F31+F38</f>
        <v>100</v>
      </c>
      <c r="G41" s="321">
        <f>G31+G38</f>
        <v>58948560000</v>
      </c>
      <c r="H41" s="321">
        <f>H31+H34+H37</f>
        <v>100</v>
      </c>
      <c r="I41" s="321">
        <f>I31+I34+I37</f>
        <v>58948560000</v>
      </c>
      <c r="J41" s="322">
        <f>J31+J34</f>
        <v>77.926432808536802</v>
      </c>
      <c r="K41" s="321">
        <f>K31+K34+K37</f>
        <v>0</v>
      </c>
      <c r="L41" s="321">
        <f>L31+L34+L37</f>
        <v>12946817884</v>
      </c>
      <c r="M41" s="322">
        <f>M31+M38</f>
        <v>99.866639654973937</v>
      </c>
      <c r="N41" s="321">
        <f>N31+N34+N37</f>
        <v>46001742116</v>
      </c>
      <c r="O41" s="307">
        <f>L41/I41*100</f>
        <v>21.962907803006555</v>
      </c>
    </row>
    <row r="42" spans="1:15" s="294" customFormat="1" ht="21" customHeight="1" thickBot="1">
      <c r="A42" s="293"/>
      <c r="B42" s="323"/>
      <c r="C42" s="323"/>
      <c r="D42" s="318" t="s">
        <v>489</v>
      </c>
      <c r="E42" s="321">
        <f>E41</f>
        <v>39542808933.580002</v>
      </c>
      <c r="F42" s="321"/>
      <c r="G42" s="321">
        <f>G41-G37</f>
        <v>45936510000</v>
      </c>
      <c r="H42" s="321"/>
      <c r="I42" s="321">
        <f>I41-I37</f>
        <v>45936510000</v>
      </c>
      <c r="J42" s="322"/>
      <c r="K42" s="321">
        <f>K41-K37</f>
        <v>0</v>
      </c>
      <c r="L42" s="321">
        <f>L39</f>
        <v>12946817884</v>
      </c>
      <c r="M42" s="322"/>
      <c r="N42" s="321">
        <f>N41-N37</f>
        <v>33006958037</v>
      </c>
      <c r="O42" s="324">
        <f>L42/I42*100</f>
        <v>28.184156532570714</v>
      </c>
    </row>
    <row r="43" spans="1:15" s="206" customFormat="1" ht="12.75" thickTop="1" thickBot="1">
      <c r="A43" s="268"/>
      <c r="B43" s="1208"/>
      <c r="C43" s="1208"/>
      <c r="D43" s="606" t="s">
        <v>57</v>
      </c>
      <c r="E43" s="607">
        <v>8489</v>
      </c>
      <c r="F43" s="608"/>
      <c r="G43" s="607">
        <v>9299</v>
      </c>
      <c r="H43" s="607"/>
      <c r="I43" s="607">
        <v>9299</v>
      </c>
      <c r="J43" s="607"/>
      <c r="K43" s="607"/>
      <c r="L43" s="607">
        <v>9299</v>
      </c>
      <c r="M43" s="608"/>
      <c r="N43" s="607">
        <f>I43-L43</f>
        <v>0</v>
      </c>
      <c r="O43" s="609"/>
    </row>
    <row r="44" spans="1:15" s="206" customFormat="1" ht="12" thickTop="1"/>
  </sheetData>
  <mergeCells count="48">
    <mergeCell ref="B14:C14"/>
    <mergeCell ref="B15:C15"/>
    <mergeCell ref="B2:O2"/>
    <mergeCell ref="B3:O3"/>
    <mergeCell ref="B4:O4"/>
    <mergeCell ref="B5:C5"/>
    <mergeCell ref="D5:F5"/>
    <mergeCell ref="G5:J5"/>
    <mergeCell ref="K5:O5"/>
    <mergeCell ref="O7:O8"/>
    <mergeCell ref="B10:D10"/>
    <mergeCell ref="B11:C11"/>
    <mergeCell ref="B12:C12"/>
    <mergeCell ref="B13:C13"/>
    <mergeCell ref="B6:D9"/>
    <mergeCell ref="E6:O6"/>
    <mergeCell ref="E7:F7"/>
    <mergeCell ref="G7:H7"/>
    <mergeCell ref="I7:J7"/>
    <mergeCell ref="L7:M7"/>
    <mergeCell ref="N7:N8"/>
    <mergeCell ref="B16:C16"/>
    <mergeCell ref="B17:C17"/>
    <mergeCell ref="B18:C18"/>
    <mergeCell ref="B19:C19"/>
    <mergeCell ref="B20:C20"/>
    <mergeCell ref="B29:C29"/>
    <mergeCell ref="B30:C30"/>
    <mergeCell ref="B21:C21"/>
    <mergeCell ref="B22:D22"/>
    <mergeCell ref="B23:C23"/>
    <mergeCell ref="B24:C24"/>
    <mergeCell ref="B25:C25"/>
    <mergeCell ref="B26:C26"/>
    <mergeCell ref="B27:C27"/>
    <mergeCell ref="B28:C28"/>
    <mergeCell ref="B41:C41"/>
    <mergeCell ref="B43:C43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</mergeCells>
  <pageMargins left="0.17" right="0.17" top="0.17" bottom="0.17" header="0.17" footer="0.17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9"/>
  <sheetViews>
    <sheetView topLeftCell="C19" zoomScale="120" zoomScaleNormal="120" workbookViewId="0">
      <selection activeCell="J20" sqref="J19:J20"/>
    </sheetView>
  </sheetViews>
  <sheetFormatPr defaultRowHeight="11.25"/>
  <cols>
    <col min="1" max="2" width="0" style="31" hidden="1" customWidth="1"/>
    <col min="3" max="3" width="6.140625" style="206" customWidth="1"/>
    <col min="4" max="4" width="5.28515625" style="206" customWidth="1"/>
    <col min="5" max="5" width="29.28515625" style="206" customWidth="1"/>
    <col min="6" max="6" width="6.7109375" style="206" customWidth="1"/>
    <col min="7" max="7" width="14.85546875" style="206" customWidth="1"/>
    <col min="8" max="8" width="11.7109375" style="206" customWidth="1"/>
    <col min="9" max="9" width="12.7109375" style="206" customWidth="1"/>
    <col min="10" max="10" width="12" style="206" customWidth="1"/>
    <col min="11" max="11" width="11.85546875" style="206" customWidth="1"/>
    <col min="12" max="12" width="11.42578125" style="206" customWidth="1"/>
    <col min="13" max="13" width="6.7109375" style="206" customWidth="1"/>
    <col min="14" max="14" width="11" style="206" customWidth="1"/>
    <col min="15" max="16" width="10.140625" style="206" customWidth="1"/>
    <col min="17" max="17" width="13.7109375" style="206" customWidth="1"/>
    <col min="18" max="16384" width="9.140625" style="31"/>
  </cols>
  <sheetData>
    <row r="1" spans="1:17">
      <c r="A1" s="803"/>
      <c r="B1" s="803"/>
      <c r="C1" s="804"/>
      <c r="D1" s="805"/>
      <c r="E1" s="805"/>
      <c r="F1" s="805"/>
      <c r="G1" s="805"/>
      <c r="H1" s="805"/>
      <c r="I1" s="805"/>
      <c r="J1" s="805"/>
      <c r="K1" s="805"/>
      <c r="L1" s="805"/>
      <c r="M1" s="805"/>
      <c r="N1" s="805"/>
      <c r="O1" s="805"/>
      <c r="P1" s="805"/>
      <c r="Q1" s="805"/>
    </row>
    <row r="2" spans="1:17">
      <c r="A2" s="60"/>
      <c r="B2" s="60"/>
      <c r="C2" s="1228" t="s">
        <v>93</v>
      </c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</row>
    <row r="3" spans="1:17">
      <c r="A3" s="60"/>
      <c r="B3" s="60"/>
      <c r="C3" s="1229" t="s">
        <v>498</v>
      </c>
      <c r="D3" s="1229"/>
      <c r="E3" s="1229"/>
      <c r="F3" s="1229"/>
      <c r="G3" s="1229"/>
      <c r="H3" s="1229"/>
      <c r="I3" s="1229"/>
      <c r="J3" s="1229"/>
      <c r="K3" s="1229"/>
      <c r="L3" s="1229"/>
      <c r="M3" s="1229"/>
      <c r="N3" s="1229"/>
      <c r="O3" s="1229"/>
      <c r="P3" s="1229"/>
      <c r="Q3" s="1229"/>
    </row>
    <row r="4" spans="1:17">
      <c r="A4" s="60"/>
      <c r="B4" s="60"/>
      <c r="C4" s="760"/>
      <c r="D4" s="1231" t="s">
        <v>1</v>
      </c>
      <c r="E4" s="1231"/>
      <c r="F4" s="1231"/>
      <c r="G4" s="1231"/>
      <c r="H4" s="1231"/>
      <c r="I4" s="1231"/>
      <c r="J4" s="1231"/>
      <c r="K4" s="1231"/>
      <c r="L4" s="1231"/>
      <c r="M4" s="1231"/>
      <c r="N4" s="1231"/>
      <c r="O4" s="1231"/>
      <c r="P4" s="1231"/>
      <c r="Q4" s="1231"/>
    </row>
    <row r="5" spans="1:17" ht="28.5" customHeight="1">
      <c r="A5" s="1230"/>
      <c r="B5" s="1230"/>
      <c r="C5" s="1119" t="s">
        <v>94</v>
      </c>
      <c r="D5" s="1119" t="s">
        <v>95</v>
      </c>
      <c r="E5" s="1119" t="s">
        <v>96</v>
      </c>
      <c r="F5" s="1119" t="s">
        <v>97</v>
      </c>
      <c r="G5" s="1119" t="s">
        <v>98</v>
      </c>
      <c r="H5" s="1119" t="s">
        <v>319</v>
      </c>
      <c r="I5" s="1119" t="s">
        <v>99</v>
      </c>
      <c r="J5" s="1119" t="s">
        <v>100</v>
      </c>
      <c r="K5" s="1119" t="s">
        <v>101</v>
      </c>
      <c r="L5" s="1119" t="s">
        <v>102</v>
      </c>
      <c r="M5" s="1119" t="s">
        <v>103</v>
      </c>
      <c r="N5" s="1119" t="s">
        <v>104</v>
      </c>
      <c r="O5" s="1119" t="s">
        <v>105</v>
      </c>
      <c r="P5" s="1119" t="s">
        <v>106</v>
      </c>
      <c r="Q5" s="1119" t="s">
        <v>68</v>
      </c>
    </row>
    <row r="6" spans="1:17">
      <c r="A6" s="60"/>
      <c r="B6" s="60"/>
      <c r="C6" s="786">
        <v>17</v>
      </c>
      <c r="D6" s="235" t="s">
        <v>27</v>
      </c>
      <c r="E6" s="235" t="s">
        <v>28</v>
      </c>
      <c r="F6" s="235">
        <v>2026</v>
      </c>
      <c r="G6" s="236" t="s">
        <v>81</v>
      </c>
      <c r="H6" s="237"/>
      <c r="I6" s="237">
        <f>'Aneksi 2.0 Planif'!F25</f>
        <v>80000000</v>
      </c>
      <c r="J6" s="237">
        <f>'Aneksi 2.0 Planif'!F15</f>
        <v>612980000</v>
      </c>
      <c r="K6" s="237">
        <f>'Aneksi 2.0 Planif'!F16</f>
        <v>114900000</v>
      </c>
      <c r="L6" s="237">
        <f>'Aneksi 2.0 Planif'!F17</f>
        <v>399896000</v>
      </c>
      <c r="M6" s="237">
        <f>'Aneksi 2.0 Planif'!F18</f>
        <v>0</v>
      </c>
      <c r="N6" s="237">
        <f>'Aneksi 2.0 Planif'!F19</f>
        <v>0</v>
      </c>
      <c r="O6" s="237">
        <f>'Aneksi 2.0 Planif'!F20</f>
        <v>275424000</v>
      </c>
      <c r="P6" s="237">
        <f>'Aneksi 2.0 Planif'!F21</f>
        <v>33000000</v>
      </c>
      <c r="Q6" s="788">
        <f>SUM(H6:P6)</f>
        <v>1516200000</v>
      </c>
    </row>
    <row r="7" spans="1:17">
      <c r="A7" s="60"/>
      <c r="B7" s="60"/>
      <c r="C7" s="786">
        <v>17</v>
      </c>
      <c r="D7" s="235" t="s">
        <v>27</v>
      </c>
      <c r="E7" s="235" t="s">
        <v>28</v>
      </c>
      <c r="F7" s="235">
        <v>2026</v>
      </c>
      <c r="G7" s="236" t="s">
        <v>82</v>
      </c>
      <c r="H7" s="237"/>
      <c r="I7" s="237">
        <f>'Aneksi 2.0 Planif'!H25</f>
        <v>80000000</v>
      </c>
      <c r="J7" s="237">
        <f>'Aneksi 2.0 Planif'!H15</f>
        <v>612980000</v>
      </c>
      <c r="K7" s="237">
        <f>'Aneksi 2.0 Planif'!H16</f>
        <v>114900000</v>
      </c>
      <c r="L7" s="237">
        <f>'Aneksi 2.0 Planif'!H17</f>
        <v>399896000</v>
      </c>
      <c r="M7" s="237">
        <f>'Aneksi 2.0 Planif'!H18</f>
        <v>0</v>
      </c>
      <c r="N7" s="237">
        <f>'Aneksi 2.0 Planif'!H19</f>
        <v>0</v>
      </c>
      <c r="O7" s="237">
        <f>'Aneksi 2.0 Planif'!H20</f>
        <v>275424000</v>
      </c>
      <c r="P7" s="237">
        <f>'Aneksi 2.0 Planif'!H21</f>
        <v>33000000</v>
      </c>
      <c r="Q7" s="788">
        <f>SUM(H7:P7)</f>
        <v>1516200000</v>
      </c>
    </row>
    <row r="8" spans="1:17">
      <c r="A8" s="60"/>
      <c r="B8" s="60"/>
      <c r="C8" s="786">
        <v>17</v>
      </c>
      <c r="D8" s="235" t="s">
        <v>27</v>
      </c>
      <c r="E8" s="235" t="s">
        <v>28</v>
      </c>
      <c r="F8" s="235">
        <v>2026</v>
      </c>
      <c r="G8" s="236" t="s">
        <v>107</v>
      </c>
      <c r="H8" s="237"/>
      <c r="I8" s="237"/>
      <c r="J8" s="237">
        <f>'Aneksi 2.0 Planif'!K15</f>
        <v>170597674</v>
      </c>
      <c r="K8" s="237">
        <f>'Aneksi 2.0 Planif'!K16</f>
        <v>34485603</v>
      </c>
      <c r="L8" s="237">
        <f>'Aneksi 2.0 Planif'!K17</f>
        <v>207346272</v>
      </c>
      <c r="M8" s="237"/>
      <c r="N8" s="237"/>
      <c r="O8" s="237">
        <f>'Aneksi 2.0 Planif'!K20</f>
        <v>146500000</v>
      </c>
      <c r="P8" s="237">
        <f>'Aneksi 2.0 Planif'!K21</f>
        <v>8871905</v>
      </c>
      <c r="Q8" s="788">
        <f>SUM(H8:P8)</f>
        <v>567801454</v>
      </c>
    </row>
    <row r="9" spans="1:17">
      <c r="A9" s="60"/>
      <c r="B9" s="60"/>
      <c r="C9" s="786">
        <v>17</v>
      </c>
      <c r="D9" s="235" t="s">
        <v>27</v>
      </c>
      <c r="E9" s="235" t="s">
        <v>28</v>
      </c>
      <c r="F9" s="235">
        <v>2026</v>
      </c>
      <c r="G9" s="236" t="s">
        <v>84</v>
      </c>
      <c r="H9" s="237"/>
      <c r="I9" s="237"/>
      <c r="J9" s="237"/>
      <c r="K9" s="237"/>
      <c r="L9" s="237"/>
      <c r="M9" s="237"/>
      <c r="N9" s="237"/>
      <c r="O9" s="237"/>
      <c r="P9" s="237"/>
      <c r="Q9" s="788">
        <f>SUM(H9:P9)</f>
        <v>0</v>
      </c>
    </row>
    <row r="10" spans="1:17">
      <c r="A10" s="60"/>
      <c r="B10" s="60"/>
      <c r="C10" s="786">
        <v>17</v>
      </c>
      <c r="D10" s="235"/>
      <c r="E10" s="235" t="s">
        <v>89</v>
      </c>
      <c r="F10" s="235">
        <v>2026</v>
      </c>
      <c r="G10" s="236"/>
      <c r="H10" s="237"/>
      <c r="I10" s="237"/>
      <c r="J10" s="237"/>
      <c r="K10" s="237"/>
      <c r="L10" s="237"/>
      <c r="M10" s="237"/>
      <c r="N10" s="237"/>
      <c r="O10" s="237"/>
      <c r="P10" s="237"/>
      <c r="Q10" s="788">
        <f>SUM(H10:P10)</f>
        <v>0</v>
      </c>
    </row>
    <row r="11" spans="1:17">
      <c r="A11" s="60"/>
      <c r="B11" s="60"/>
      <c r="C11" s="794">
        <v>17</v>
      </c>
      <c r="D11" s="239"/>
      <c r="E11" s="239" t="s">
        <v>90</v>
      </c>
      <c r="F11" s="235">
        <v>2026</v>
      </c>
      <c r="G11" s="240"/>
      <c r="H11" s="241"/>
      <c r="I11" s="241">
        <f>I8/I7*100</f>
        <v>0</v>
      </c>
      <c r="J11" s="241">
        <f t="shared" ref="J11:Q11" si="0">J8/J7*100</f>
        <v>27.830871154034387</v>
      </c>
      <c r="K11" s="241">
        <f t="shared" si="0"/>
        <v>30.013579634464755</v>
      </c>
      <c r="L11" s="241">
        <f t="shared" si="0"/>
        <v>51.850049012743312</v>
      </c>
      <c r="M11" s="241"/>
      <c r="N11" s="241"/>
      <c r="O11" s="241">
        <f t="shared" si="0"/>
        <v>53.19071685837109</v>
      </c>
      <c r="P11" s="241">
        <f t="shared" si="0"/>
        <v>26.884560606060603</v>
      </c>
      <c r="Q11" s="795">
        <f t="shared" si="0"/>
        <v>37.44898126896188</v>
      </c>
    </row>
    <row r="12" spans="1:17" s="244" customFormat="1">
      <c r="A12" s="242"/>
      <c r="B12" s="242"/>
      <c r="C12" s="786">
        <v>17</v>
      </c>
      <c r="D12" s="235"/>
      <c r="E12" s="235" t="s">
        <v>108</v>
      </c>
      <c r="F12" s="235">
        <v>2026</v>
      </c>
      <c r="G12" s="236" t="s">
        <v>107</v>
      </c>
      <c r="H12" s="237"/>
      <c r="I12" s="237"/>
      <c r="J12" s="237"/>
      <c r="K12" s="237"/>
      <c r="L12" s="237"/>
      <c r="M12" s="243"/>
      <c r="N12" s="237"/>
      <c r="O12" s="237"/>
      <c r="P12" s="237"/>
      <c r="Q12" s="788">
        <f t="shared" ref="Q12:Q17" si="1">SUM(H12:P12)</f>
        <v>0</v>
      </c>
    </row>
    <row r="13" spans="1:17">
      <c r="A13" s="60"/>
      <c r="B13" s="60"/>
      <c r="C13" s="786">
        <v>17</v>
      </c>
      <c r="D13" s="806" t="s">
        <v>147</v>
      </c>
      <c r="E13" s="806" t="s">
        <v>148</v>
      </c>
      <c r="F13" s="235">
        <v>2026</v>
      </c>
      <c r="G13" s="236" t="s">
        <v>81</v>
      </c>
      <c r="H13" s="237">
        <f>'Aneksi 2.0 Forcat e Luftimit'!F28</f>
        <v>11000000000</v>
      </c>
      <c r="I13" s="237">
        <f>'Aneksi 2.0 Forcat e Luftimit'!F25</f>
        <v>10661500000</v>
      </c>
      <c r="J13" s="237">
        <f>'Aneksi 2.0 Forcat e Luftimit'!F15</f>
        <v>4974568000</v>
      </c>
      <c r="K13" s="237">
        <f>'Aneksi 2.0 Forcat e Luftimit'!F16</f>
        <v>892730000</v>
      </c>
      <c r="L13" s="237">
        <f>'Aneksi 2.0 Forcat e Luftimit'!F17</f>
        <v>3823076000</v>
      </c>
      <c r="M13" s="243"/>
      <c r="N13" s="237"/>
      <c r="O13" s="237"/>
      <c r="P13" s="237">
        <f>'Aneksi 2.0 Forcat e Luftimit'!F21</f>
        <v>40000000</v>
      </c>
      <c r="Q13" s="788">
        <f t="shared" si="1"/>
        <v>31391874000</v>
      </c>
    </row>
    <row r="14" spans="1:17">
      <c r="A14" s="60"/>
      <c r="B14" s="60"/>
      <c r="C14" s="786">
        <v>17</v>
      </c>
      <c r="D14" s="806" t="s">
        <v>147</v>
      </c>
      <c r="E14" s="806" t="s">
        <v>148</v>
      </c>
      <c r="F14" s="235">
        <v>2026</v>
      </c>
      <c r="G14" s="236" t="s">
        <v>82</v>
      </c>
      <c r="H14" s="237">
        <f>'Aneksi 2.0 Forcat e Luftimit'!H28</f>
        <v>11000000000</v>
      </c>
      <c r="I14" s="237">
        <f>'Aneksi 2.0 Forcat e Luftimit'!H25</f>
        <v>10661500000</v>
      </c>
      <c r="J14" s="237">
        <f>'Aneksi 2.0 Forcat e Luftimit'!H15</f>
        <v>4974568000</v>
      </c>
      <c r="K14" s="237">
        <f>'Aneksi 2.0 Forcat e Luftimit'!H16</f>
        <v>892730000</v>
      </c>
      <c r="L14" s="237">
        <f>'Aneksi 2.0 Forcat e Luftimit'!H17</f>
        <v>3823076000</v>
      </c>
      <c r="M14" s="237"/>
      <c r="N14" s="237"/>
      <c r="O14" s="237"/>
      <c r="P14" s="237">
        <f>'Aneksi 2.0 Forcat e Luftimit'!H21</f>
        <v>40000000</v>
      </c>
      <c r="Q14" s="788">
        <f t="shared" si="1"/>
        <v>31391874000</v>
      </c>
    </row>
    <row r="15" spans="1:17">
      <c r="A15" s="60"/>
      <c r="B15" s="60"/>
      <c r="C15" s="786">
        <v>17</v>
      </c>
      <c r="D15" s="806" t="s">
        <v>147</v>
      </c>
      <c r="E15" s="806" t="s">
        <v>148</v>
      </c>
      <c r="F15" s="235">
        <v>2026</v>
      </c>
      <c r="G15" s="236" t="s">
        <v>107</v>
      </c>
      <c r="H15" s="237">
        <f>'Aneksi 2.0 Forcat e Luftimit'!K28</f>
        <v>0</v>
      </c>
      <c r="I15" s="237">
        <f>'Aneksi 2.0 Forcat e Luftimit'!K25</f>
        <v>3794642711</v>
      </c>
      <c r="J15" s="237">
        <f>'Aneksi 2.0 Forcat e Luftimit'!K15</f>
        <v>1756549523</v>
      </c>
      <c r="K15" s="237">
        <f>'Aneksi 2.0 Forcat e Luftimit'!K16</f>
        <v>294310477</v>
      </c>
      <c r="L15" s="237">
        <f>'Aneksi 2.0 Forcat e Luftimit'!K17</f>
        <v>1165695022</v>
      </c>
      <c r="M15" s="237"/>
      <c r="N15" s="237"/>
      <c r="O15" s="237"/>
      <c r="P15" s="237">
        <f>'Aneksi 2.0 Forcat e Luftimit'!K21</f>
        <v>15106500</v>
      </c>
      <c r="Q15" s="788">
        <f t="shared" si="1"/>
        <v>7026304233</v>
      </c>
    </row>
    <row r="16" spans="1:17">
      <c r="A16" s="60"/>
      <c r="B16" s="60"/>
      <c r="C16" s="786">
        <v>17</v>
      </c>
      <c r="D16" s="806" t="s">
        <v>147</v>
      </c>
      <c r="E16" s="806" t="s">
        <v>148</v>
      </c>
      <c r="F16" s="235">
        <v>2026</v>
      </c>
      <c r="G16" s="236" t="s">
        <v>84</v>
      </c>
      <c r="H16" s="237"/>
      <c r="I16" s="237"/>
      <c r="J16" s="237"/>
      <c r="K16" s="237"/>
      <c r="L16" s="237"/>
      <c r="M16" s="237"/>
      <c r="N16" s="237"/>
      <c r="O16" s="237"/>
      <c r="P16" s="237"/>
      <c r="Q16" s="788">
        <f t="shared" si="1"/>
        <v>0</v>
      </c>
    </row>
    <row r="17" spans="1:17">
      <c r="A17" s="60"/>
      <c r="B17" s="60"/>
      <c r="C17" s="786">
        <v>17</v>
      </c>
      <c r="D17" s="235"/>
      <c r="E17" s="235" t="s">
        <v>89</v>
      </c>
      <c r="F17" s="235">
        <v>2026</v>
      </c>
      <c r="G17" s="236"/>
      <c r="H17" s="237"/>
      <c r="I17" s="237"/>
      <c r="J17" s="237"/>
      <c r="K17" s="237"/>
      <c r="L17" s="237"/>
      <c r="M17" s="237"/>
      <c r="N17" s="237"/>
      <c r="O17" s="237"/>
      <c r="P17" s="237"/>
      <c r="Q17" s="788">
        <f t="shared" si="1"/>
        <v>0</v>
      </c>
    </row>
    <row r="18" spans="1:17">
      <c r="A18" s="60"/>
      <c r="B18" s="60"/>
      <c r="C18" s="794">
        <v>17</v>
      </c>
      <c r="D18" s="239"/>
      <c r="E18" s="239" t="s">
        <v>90</v>
      </c>
      <c r="F18" s="235">
        <v>2026</v>
      </c>
      <c r="G18" s="240"/>
      <c r="H18" s="241">
        <f t="shared" ref="H18:Q18" si="2">H15/H14*100</f>
        <v>0</v>
      </c>
      <c r="I18" s="241">
        <f t="shared" si="2"/>
        <v>35.592015298034987</v>
      </c>
      <c r="J18" s="241">
        <f t="shared" si="2"/>
        <v>35.310594266678031</v>
      </c>
      <c r="K18" s="241">
        <f t="shared" si="2"/>
        <v>32.967467991441978</v>
      </c>
      <c r="L18" s="241">
        <f t="shared" si="2"/>
        <v>30.491024034050067</v>
      </c>
      <c r="M18" s="241">
        <v>0</v>
      </c>
      <c r="N18" s="241">
        <v>0</v>
      </c>
      <c r="O18" s="241">
        <v>0</v>
      </c>
      <c r="P18" s="241">
        <f t="shared" si="2"/>
        <v>37.766249999999999</v>
      </c>
      <c r="Q18" s="795">
        <f t="shared" si="2"/>
        <v>22.382557451014236</v>
      </c>
    </row>
    <row r="19" spans="1:17" s="244" customFormat="1">
      <c r="A19" s="242"/>
      <c r="B19" s="242"/>
      <c r="C19" s="786">
        <v>17</v>
      </c>
      <c r="D19" s="806" t="s">
        <v>149</v>
      </c>
      <c r="E19" s="806" t="s">
        <v>150</v>
      </c>
      <c r="F19" s="235">
        <v>2026</v>
      </c>
      <c r="G19" s="245" t="s">
        <v>81</v>
      </c>
      <c r="H19" s="237"/>
      <c r="I19" s="237">
        <f>'Aneksi 2.0 MBSHT.LUFTIMIT'!F28</f>
        <v>2265500000</v>
      </c>
      <c r="J19" s="237">
        <f>'Aneksi 2.0 MBSHT.LUFTIMIT'!F18</f>
        <v>3941500000</v>
      </c>
      <c r="K19" s="237">
        <f>'Aneksi 2.0 MBSHT.LUFTIMIT'!F19</f>
        <v>641300000</v>
      </c>
      <c r="L19" s="237">
        <f>'Aneksi 2.0 MBSHT.LUFTIMIT'!F20</f>
        <v>3944551000</v>
      </c>
      <c r="M19" s="243"/>
      <c r="N19" s="237"/>
      <c r="O19" s="237"/>
      <c r="P19" s="237">
        <f>'Aneksi 2.0 MBSHT.LUFTIMIT'!F24</f>
        <v>363685000</v>
      </c>
      <c r="Q19" s="788">
        <f>SUM(H19:P19)</f>
        <v>11156536000</v>
      </c>
    </row>
    <row r="20" spans="1:17" s="244" customFormat="1">
      <c r="A20" s="242"/>
      <c r="B20" s="242"/>
      <c r="C20" s="786">
        <v>17</v>
      </c>
      <c r="D20" s="806" t="s">
        <v>149</v>
      </c>
      <c r="E20" s="806" t="s">
        <v>150</v>
      </c>
      <c r="F20" s="235">
        <v>2026</v>
      </c>
      <c r="G20" s="245" t="s">
        <v>82</v>
      </c>
      <c r="H20" s="237"/>
      <c r="I20" s="237">
        <f>'Aneksi 2.0 MBSHT.LUFTIMIT'!H28</f>
        <v>2265500000</v>
      </c>
      <c r="J20" s="237">
        <f>'Aneksi 2.0 MBSHT.LUFTIMIT'!H18</f>
        <v>3941500000</v>
      </c>
      <c r="K20" s="237">
        <f>'Aneksi 2.0 MBSHT.LUFTIMIT'!H19</f>
        <v>641300000</v>
      </c>
      <c r="L20" s="237">
        <f>'Aneksi 2.0 MBSHT.LUFTIMIT'!H20</f>
        <v>3944551000</v>
      </c>
      <c r="M20" s="237"/>
      <c r="N20" s="237"/>
      <c r="O20" s="237"/>
      <c r="P20" s="237">
        <f>'Aneksi 2.0 MBSHT.LUFTIMIT'!H24</f>
        <v>363685000</v>
      </c>
      <c r="Q20" s="788">
        <f>SUM(H20:P20)</f>
        <v>11156536000</v>
      </c>
    </row>
    <row r="21" spans="1:17" s="244" customFormat="1">
      <c r="A21" s="242"/>
      <c r="B21" s="242"/>
      <c r="C21" s="786">
        <v>17</v>
      </c>
      <c r="D21" s="806" t="s">
        <v>149</v>
      </c>
      <c r="E21" s="806" t="s">
        <v>150</v>
      </c>
      <c r="F21" s="235">
        <v>2026</v>
      </c>
      <c r="G21" s="245" t="s">
        <v>107</v>
      </c>
      <c r="H21" s="237"/>
      <c r="I21" s="237">
        <f>'Aneksi 2.0 MBSHT.LUFTIMIT'!K28</f>
        <v>37980094</v>
      </c>
      <c r="J21" s="237">
        <f>'Aneksi 2.0 MBSHT.LUFTIMIT'!K18</f>
        <v>1339938913</v>
      </c>
      <c r="K21" s="237">
        <f>'Aneksi 2.0 MBSHT.LUFTIMIT'!K19</f>
        <v>226770233</v>
      </c>
      <c r="L21" s="237">
        <f>'Aneksi 2.0 MBSHT.LUFTIMIT'!K20</f>
        <v>810831620</v>
      </c>
      <c r="M21" s="237"/>
      <c r="N21" s="237"/>
      <c r="O21" s="237"/>
      <c r="P21" s="237">
        <f>'Aneksi 2.0 MBSHT.LUFTIMIT'!K24</f>
        <v>87900699</v>
      </c>
      <c r="Q21" s="788">
        <f>SUM(H21:P21)</f>
        <v>2503421559</v>
      </c>
    </row>
    <row r="22" spans="1:17" s="244" customFormat="1">
      <c r="A22" s="242"/>
      <c r="B22" s="242"/>
      <c r="C22" s="786">
        <v>17</v>
      </c>
      <c r="D22" s="806" t="s">
        <v>149</v>
      </c>
      <c r="E22" s="806" t="s">
        <v>150</v>
      </c>
      <c r="F22" s="235">
        <v>2026</v>
      </c>
      <c r="G22" s="245" t="s">
        <v>84</v>
      </c>
      <c r="H22" s="237"/>
      <c r="I22" s="237"/>
      <c r="J22" s="237"/>
      <c r="K22" s="237"/>
      <c r="L22" s="237"/>
      <c r="M22" s="237"/>
      <c r="N22" s="237"/>
      <c r="O22" s="237"/>
      <c r="P22" s="237"/>
      <c r="Q22" s="788">
        <f>SUM(H22:P22)</f>
        <v>0</v>
      </c>
    </row>
    <row r="23" spans="1:17" s="244" customFormat="1">
      <c r="A23" s="242"/>
      <c r="B23" s="242"/>
      <c r="C23" s="786">
        <v>17</v>
      </c>
      <c r="D23" s="235"/>
      <c r="E23" s="235" t="s">
        <v>89</v>
      </c>
      <c r="F23" s="235">
        <v>2026</v>
      </c>
      <c r="G23" s="236"/>
      <c r="H23" s="237"/>
      <c r="I23" s="237"/>
      <c r="J23" s="237"/>
      <c r="K23" s="237"/>
      <c r="L23" s="237"/>
      <c r="M23" s="237"/>
      <c r="N23" s="237"/>
      <c r="O23" s="237"/>
      <c r="P23" s="237"/>
      <c r="Q23" s="788">
        <f>SUM(H23:P23)</f>
        <v>0</v>
      </c>
    </row>
    <row r="24" spans="1:17">
      <c r="A24" s="60"/>
      <c r="B24" s="60"/>
      <c r="C24" s="794">
        <v>17</v>
      </c>
      <c r="D24" s="239"/>
      <c r="E24" s="239" t="s">
        <v>90</v>
      </c>
      <c r="F24" s="235">
        <v>2026</v>
      </c>
      <c r="G24" s="240"/>
      <c r="H24" s="241"/>
      <c r="I24" s="241">
        <f>I21/I20*100</f>
        <v>1.6764552637386891</v>
      </c>
      <c r="J24" s="241">
        <f t="shared" ref="J24:Q24" si="3">J21/J20*100</f>
        <v>33.995659342889759</v>
      </c>
      <c r="K24" s="241">
        <f t="shared" si="3"/>
        <v>35.361021830656483</v>
      </c>
      <c r="L24" s="241">
        <f t="shared" si="3"/>
        <v>20.555739297070819</v>
      </c>
      <c r="M24" s="241"/>
      <c r="N24" s="241"/>
      <c r="O24" s="241"/>
      <c r="P24" s="241">
        <f t="shared" si="3"/>
        <v>24.169459559783878</v>
      </c>
      <c r="Q24" s="795">
        <f t="shared" si="3"/>
        <v>22.439057777431991</v>
      </c>
    </row>
    <row r="25" spans="1:17">
      <c r="A25" s="60"/>
      <c r="B25" s="60"/>
      <c r="C25" s="786">
        <v>17</v>
      </c>
      <c r="D25" s="806" t="s">
        <v>151</v>
      </c>
      <c r="E25" s="806" t="s">
        <v>152</v>
      </c>
      <c r="F25" s="235">
        <v>2026</v>
      </c>
      <c r="G25" s="236" t="s">
        <v>81</v>
      </c>
      <c r="H25" s="237"/>
      <c r="I25" s="237">
        <f>'Aneksi 2.0 Mbësht .Shëndetësinë'!F25</f>
        <v>500000000</v>
      </c>
      <c r="J25" s="237">
        <f>'Aneksi 2.0 Mbësht .Shëndetësinë'!F15</f>
        <v>715336000</v>
      </c>
      <c r="K25" s="237">
        <f>'Aneksi 2.0 Mbësht .Shëndetësinë'!F16</f>
        <v>119300000</v>
      </c>
      <c r="L25" s="237">
        <f>'Aneksi 2.0 Mbësht .Shëndetësinë'!F17</f>
        <v>798164000</v>
      </c>
      <c r="M25" s="243"/>
      <c r="N25" s="237"/>
      <c r="O25" s="237"/>
      <c r="P25" s="237">
        <f>'Aneksi 2.0 Mbësht .Shëndetësinë'!F21</f>
        <v>2000000</v>
      </c>
      <c r="Q25" s="788">
        <f>SUM(H25:P25)</f>
        <v>2134800000</v>
      </c>
    </row>
    <row r="26" spans="1:17">
      <c r="A26" s="60"/>
      <c r="B26" s="60"/>
      <c r="C26" s="786">
        <v>17</v>
      </c>
      <c r="D26" s="806" t="s">
        <v>151</v>
      </c>
      <c r="E26" s="806" t="s">
        <v>152</v>
      </c>
      <c r="F26" s="235">
        <v>2026</v>
      </c>
      <c r="G26" s="236" t="s">
        <v>82</v>
      </c>
      <c r="H26" s="237"/>
      <c r="I26" s="237">
        <f>'Aneksi 2.0 Mbësht .Shëndetësinë'!H25</f>
        <v>500000000</v>
      </c>
      <c r="J26" s="237">
        <f>'Aneksi 2.0 Mbësht .Shëndetësinë'!H15</f>
        <v>715336000</v>
      </c>
      <c r="K26" s="237">
        <f>'Aneksi 2.0 Mbësht .Shëndetësinë'!H16</f>
        <v>119300000</v>
      </c>
      <c r="L26" s="237">
        <f>'Aneksi 2.0 Mbësht .Shëndetësinë'!H17</f>
        <v>798164000</v>
      </c>
      <c r="M26" s="237"/>
      <c r="N26" s="237"/>
      <c r="O26" s="237"/>
      <c r="P26" s="237">
        <f>'Aneksi 2.0 Mbësht .Shëndetësinë'!H21</f>
        <v>2000000</v>
      </c>
      <c r="Q26" s="788">
        <f>SUM(H26:P26)</f>
        <v>2134800000</v>
      </c>
    </row>
    <row r="27" spans="1:17">
      <c r="A27" s="60"/>
      <c r="B27" s="60"/>
      <c r="C27" s="786">
        <v>17</v>
      </c>
      <c r="D27" s="806" t="s">
        <v>151</v>
      </c>
      <c r="E27" s="806" t="s">
        <v>152</v>
      </c>
      <c r="F27" s="235">
        <v>2026</v>
      </c>
      <c r="G27" s="236" t="s">
        <v>107</v>
      </c>
      <c r="H27" s="237"/>
      <c r="I27" s="237">
        <f>'Aneksi 2.0 Mbësht .Shëndetësinë'!K25</f>
        <v>2456160</v>
      </c>
      <c r="J27" s="237">
        <f>'Aneksi 2.0 Mbësht .Shëndetësinë'!K15</f>
        <v>246002787</v>
      </c>
      <c r="K27" s="237">
        <f>'Aneksi 2.0 Mbësht .Shëndetësinë'!K16</f>
        <v>40384161</v>
      </c>
      <c r="L27" s="237">
        <f>'Aneksi 2.0 Mbësht .Shëndetësinë'!K17</f>
        <v>164866449</v>
      </c>
      <c r="M27" s="237"/>
      <c r="N27" s="237"/>
      <c r="O27" s="237"/>
      <c r="P27" s="237">
        <f>'Aneksi 2.0 Mbësht .Shëndetësinë'!K21</f>
        <v>789646</v>
      </c>
      <c r="Q27" s="788">
        <f>SUM(H27:P27)</f>
        <v>454499203</v>
      </c>
    </row>
    <row r="28" spans="1:17">
      <c r="A28" s="60"/>
      <c r="B28" s="60"/>
      <c r="C28" s="786">
        <v>17</v>
      </c>
      <c r="D28" s="806" t="s">
        <v>151</v>
      </c>
      <c r="E28" s="806" t="s">
        <v>152</v>
      </c>
      <c r="F28" s="235">
        <v>2026</v>
      </c>
      <c r="G28" s="236" t="s">
        <v>84</v>
      </c>
      <c r="H28" s="237"/>
      <c r="I28" s="237"/>
      <c r="J28" s="237"/>
      <c r="K28" s="237"/>
      <c r="L28" s="237"/>
      <c r="M28" s="237"/>
      <c r="N28" s="237"/>
      <c r="O28" s="237"/>
      <c r="P28" s="237"/>
      <c r="Q28" s="788">
        <f>SUM(H28:P28)</f>
        <v>0</v>
      </c>
    </row>
    <row r="29" spans="1:17">
      <c r="A29" s="60"/>
      <c r="B29" s="60"/>
      <c r="C29" s="786">
        <v>17</v>
      </c>
      <c r="D29" s="235"/>
      <c r="E29" s="235" t="s">
        <v>89</v>
      </c>
      <c r="F29" s="235">
        <v>2026</v>
      </c>
      <c r="G29" s="236"/>
      <c r="H29" s="237"/>
      <c r="I29" s="237"/>
      <c r="J29" s="237"/>
      <c r="K29" s="237"/>
      <c r="L29" s="237"/>
      <c r="M29" s="237"/>
      <c r="N29" s="237"/>
      <c r="O29" s="237"/>
      <c r="P29" s="237"/>
      <c r="Q29" s="788">
        <f>SUM(H29:P29)</f>
        <v>0</v>
      </c>
    </row>
    <row r="30" spans="1:17">
      <c r="A30" s="60"/>
      <c r="B30" s="60"/>
      <c r="C30" s="794">
        <v>17</v>
      </c>
      <c r="D30" s="239"/>
      <c r="E30" s="239" t="s">
        <v>90</v>
      </c>
      <c r="F30" s="235">
        <v>2026</v>
      </c>
      <c r="G30" s="240"/>
      <c r="H30" s="241"/>
      <c r="I30" s="241">
        <f>I27/I26*100</f>
        <v>0.49123200000000006</v>
      </c>
      <c r="J30" s="241">
        <f t="shared" ref="J30:Q30" si="4">J27/J26*100</f>
        <v>34.389823383696609</v>
      </c>
      <c r="K30" s="241">
        <f t="shared" si="4"/>
        <v>33.850931265716682</v>
      </c>
      <c r="L30" s="241">
        <f t="shared" si="4"/>
        <v>20.655710981703006</v>
      </c>
      <c r="M30" s="241"/>
      <c r="N30" s="241"/>
      <c r="O30" s="241"/>
      <c r="P30" s="241">
        <f t="shared" si="4"/>
        <v>39.482299999999995</v>
      </c>
      <c r="Q30" s="795">
        <f t="shared" si="4"/>
        <v>21.290013256511148</v>
      </c>
    </row>
    <row r="31" spans="1:17">
      <c r="A31" s="60"/>
      <c r="B31" s="60"/>
      <c r="C31" s="786">
        <v>17</v>
      </c>
      <c r="D31" s="235"/>
      <c r="E31" s="235" t="s">
        <v>108</v>
      </c>
      <c r="F31" s="235">
        <v>2026</v>
      </c>
      <c r="G31" s="236" t="s">
        <v>107</v>
      </c>
      <c r="H31" s="237"/>
      <c r="I31" s="237"/>
      <c r="J31" s="237"/>
      <c r="K31" s="237"/>
      <c r="L31" s="237"/>
      <c r="M31" s="243"/>
      <c r="N31" s="237"/>
      <c r="O31" s="237"/>
      <c r="P31" s="237"/>
      <c r="Q31" s="788">
        <f t="shared" ref="Q31:Q36" si="5">SUM(H31:P31)</f>
        <v>0</v>
      </c>
    </row>
    <row r="32" spans="1:17">
      <c r="A32" s="60"/>
      <c r="B32" s="60"/>
      <c r="C32" s="786">
        <v>17</v>
      </c>
      <c r="D32" s="806" t="s">
        <v>153</v>
      </c>
      <c r="E32" s="806" t="s">
        <v>154</v>
      </c>
      <c r="F32" s="235">
        <v>2026</v>
      </c>
      <c r="G32" s="236" t="s">
        <v>81</v>
      </c>
      <c r="H32" s="237"/>
      <c r="I32" s="237">
        <f>'Aneksi 2.0 Arsimi Ushtarak'!F25</f>
        <v>857000000</v>
      </c>
      <c r="J32" s="237">
        <f>'Aneksi 2.0 Arsimi Ushtarak'!F15</f>
        <v>575300000</v>
      </c>
      <c r="K32" s="237">
        <f>'Aneksi 2.0 Arsimi Ushtarak'!F16</f>
        <v>104600000</v>
      </c>
      <c r="L32" s="237">
        <f>'Aneksi 2.0 Arsimi Ushtarak'!F17</f>
        <v>81000000</v>
      </c>
      <c r="M32" s="237">
        <v>0</v>
      </c>
      <c r="N32" s="237"/>
      <c r="O32" s="237">
        <v>0</v>
      </c>
      <c r="P32" s="238">
        <f>'Aneksi 2.0 Arsimi Ushtarak'!F21</f>
        <v>140000000</v>
      </c>
      <c r="Q32" s="788">
        <f t="shared" si="5"/>
        <v>1757900000</v>
      </c>
    </row>
    <row r="33" spans="1:17">
      <c r="A33" s="60"/>
      <c r="B33" s="60"/>
      <c r="C33" s="786">
        <v>17</v>
      </c>
      <c r="D33" s="806" t="s">
        <v>153</v>
      </c>
      <c r="E33" s="806" t="s">
        <v>154</v>
      </c>
      <c r="F33" s="235">
        <v>2026</v>
      </c>
      <c r="G33" s="236" t="s">
        <v>82</v>
      </c>
      <c r="H33" s="237"/>
      <c r="I33" s="237">
        <f>'Aneksi 2.0 Arsimi Ushtarak'!H25</f>
        <v>857000000</v>
      </c>
      <c r="J33" s="237">
        <f>'Aneksi 2.0 Arsimi Ushtarak'!H15</f>
        <v>575300000</v>
      </c>
      <c r="K33" s="237">
        <f>'Aneksi 2.0 Arsimi Ushtarak'!H16</f>
        <v>104600000</v>
      </c>
      <c r="L33" s="237">
        <f>'Aneksi 2.0 Arsimi Ushtarak'!F17</f>
        <v>81000000</v>
      </c>
      <c r="M33" s="237">
        <v>0</v>
      </c>
      <c r="N33" s="237"/>
      <c r="O33" s="237">
        <v>0</v>
      </c>
      <c r="P33" s="238">
        <f>'Aneksi 2.0 Arsimi Ushtarak'!H21</f>
        <v>140000000</v>
      </c>
      <c r="Q33" s="788">
        <f t="shared" si="5"/>
        <v>1757900000</v>
      </c>
    </row>
    <row r="34" spans="1:17">
      <c r="A34" s="60"/>
      <c r="B34" s="60"/>
      <c r="C34" s="786">
        <v>17</v>
      </c>
      <c r="D34" s="806" t="s">
        <v>153</v>
      </c>
      <c r="E34" s="806" t="s">
        <v>154</v>
      </c>
      <c r="F34" s="235">
        <v>2026</v>
      </c>
      <c r="G34" s="236" t="s">
        <v>107</v>
      </c>
      <c r="H34" s="237"/>
      <c r="I34" s="237">
        <f>'Aneksi 2.0 Arsimi Ushtarak'!K25</f>
        <v>12239476</v>
      </c>
      <c r="J34" s="237">
        <f>'Aneksi 2.0 Arsimi Ushtarak'!K15</f>
        <v>106092440</v>
      </c>
      <c r="K34" s="237">
        <f>'Aneksi 2.0 Arsimi Ushtarak'!K16</f>
        <v>31861869</v>
      </c>
      <c r="L34" s="237">
        <f>'Aneksi 2.0 Arsimi Ushtarak'!K17</f>
        <v>14003159</v>
      </c>
      <c r="M34" s="237">
        <v>0</v>
      </c>
      <c r="N34" s="237"/>
      <c r="O34" s="237">
        <v>0</v>
      </c>
      <c r="P34" s="238">
        <f>'Aneksi 2.0 Arsimi Ushtarak'!K21</f>
        <v>84669605</v>
      </c>
      <c r="Q34" s="788">
        <f t="shared" si="5"/>
        <v>248866549</v>
      </c>
    </row>
    <row r="35" spans="1:17">
      <c r="A35" s="60"/>
      <c r="B35" s="60"/>
      <c r="C35" s="786">
        <v>17</v>
      </c>
      <c r="D35" s="806" t="s">
        <v>153</v>
      </c>
      <c r="E35" s="806" t="s">
        <v>154</v>
      </c>
      <c r="F35" s="235">
        <v>2026</v>
      </c>
      <c r="G35" s="236" t="s">
        <v>84</v>
      </c>
      <c r="H35" s="237"/>
      <c r="I35" s="237"/>
      <c r="J35" s="237"/>
      <c r="K35" s="237"/>
      <c r="L35" s="237"/>
      <c r="M35" s="237"/>
      <c r="N35" s="237"/>
      <c r="O35" s="237"/>
      <c r="P35" s="237"/>
      <c r="Q35" s="788">
        <f t="shared" si="5"/>
        <v>0</v>
      </c>
    </row>
    <row r="36" spans="1:17">
      <c r="A36" s="60"/>
      <c r="B36" s="60"/>
      <c r="C36" s="786">
        <v>17</v>
      </c>
      <c r="D36" s="235"/>
      <c r="E36" s="235" t="s">
        <v>89</v>
      </c>
      <c r="F36" s="235">
        <v>2026</v>
      </c>
      <c r="G36" s="236"/>
      <c r="H36" s="237"/>
      <c r="I36" s="237"/>
      <c r="J36" s="237"/>
      <c r="K36" s="237"/>
      <c r="L36" s="237"/>
      <c r="M36" s="237"/>
      <c r="N36" s="237"/>
      <c r="O36" s="237"/>
      <c r="P36" s="237"/>
      <c r="Q36" s="788">
        <f t="shared" si="5"/>
        <v>0</v>
      </c>
    </row>
    <row r="37" spans="1:17">
      <c r="A37" s="60"/>
      <c r="B37" s="60"/>
      <c r="C37" s="794">
        <v>17</v>
      </c>
      <c r="D37" s="239"/>
      <c r="E37" s="239" t="s">
        <v>90</v>
      </c>
      <c r="F37" s="235">
        <v>2026</v>
      </c>
      <c r="G37" s="240"/>
      <c r="H37" s="241"/>
      <c r="I37" s="241">
        <f>I34/I33*100</f>
        <v>1.4281768961493584</v>
      </c>
      <c r="J37" s="241">
        <f t="shared" ref="J37:Q37" si="6">J34/J33*100</f>
        <v>18.441237615157309</v>
      </c>
      <c r="K37" s="241">
        <f t="shared" si="6"/>
        <v>30.460677820267684</v>
      </c>
      <c r="L37" s="241">
        <f>L34/L33*100</f>
        <v>17.287850617283951</v>
      </c>
      <c r="M37" s="241"/>
      <c r="N37" s="241"/>
      <c r="O37" s="241"/>
      <c r="P37" s="241">
        <f t="shared" si="6"/>
        <v>60.478289285714283</v>
      </c>
      <c r="Q37" s="795">
        <f t="shared" si="6"/>
        <v>14.157036748392967</v>
      </c>
    </row>
    <row r="38" spans="1:17">
      <c r="A38" s="60"/>
      <c r="B38" s="60"/>
      <c r="C38" s="786">
        <v>17</v>
      </c>
      <c r="D38" s="235"/>
      <c r="E38" s="235" t="s">
        <v>108</v>
      </c>
      <c r="F38" s="235">
        <v>2026</v>
      </c>
      <c r="G38" s="236" t="s">
        <v>107</v>
      </c>
      <c r="H38" s="237"/>
      <c r="I38" s="237"/>
      <c r="J38" s="237"/>
      <c r="K38" s="237"/>
      <c r="L38" s="237"/>
      <c r="M38" s="243"/>
      <c r="N38" s="237"/>
      <c r="O38" s="237"/>
      <c r="P38" s="237"/>
      <c r="Q38" s="788">
        <f t="shared" ref="Q38:Q43" si="7">SUM(H38:P38)</f>
        <v>0</v>
      </c>
    </row>
    <row r="39" spans="1:17">
      <c r="A39" s="60"/>
      <c r="B39" s="60"/>
      <c r="C39" s="786">
        <v>17</v>
      </c>
      <c r="D39" s="806" t="s">
        <v>155</v>
      </c>
      <c r="E39" s="806" t="s">
        <v>156</v>
      </c>
      <c r="F39" s="235">
        <v>2026</v>
      </c>
      <c r="G39" s="236" t="s">
        <v>81</v>
      </c>
      <c r="H39" s="237"/>
      <c r="I39" s="237"/>
      <c r="J39" s="237"/>
      <c r="K39" s="237"/>
      <c r="L39" s="237"/>
      <c r="M39" s="243"/>
      <c r="N39" s="237">
        <f>'Aneksi 2.0 Mbeshtet. Ushtaraket'!F19</f>
        <v>5200000000</v>
      </c>
      <c r="O39" s="237"/>
      <c r="P39" s="237"/>
      <c r="Q39" s="788">
        <f t="shared" si="7"/>
        <v>5200000000</v>
      </c>
    </row>
    <row r="40" spans="1:17">
      <c r="A40" s="60"/>
      <c r="B40" s="60"/>
      <c r="C40" s="786">
        <v>17</v>
      </c>
      <c r="D40" s="806" t="s">
        <v>155</v>
      </c>
      <c r="E40" s="806" t="s">
        <v>156</v>
      </c>
      <c r="F40" s="235">
        <v>2026</v>
      </c>
      <c r="G40" s="236" t="s">
        <v>82</v>
      </c>
      <c r="H40" s="237"/>
      <c r="I40" s="237"/>
      <c r="J40" s="237"/>
      <c r="K40" s="237"/>
      <c r="L40" s="237"/>
      <c r="M40" s="237"/>
      <c r="N40" s="237">
        <f>'Aneksi 2.0 Mbeshtet. Ushtaraket'!H19</f>
        <v>5200000000</v>
      </c>
      <c r="O40" s="237"/>
      <c r="P40" s="237"/>
      <c r="Q40" s="788">
        <f t="shared" si="7"/>
        <v>5200000000</v>
      </c>
    </row>
    <row r="41" spans="1:17">
      <c r="A41" s="60"/>
      <c r="B41" s="60"/>
      <c r="C41" s="786">
        <v>17</v>
      </c>
      <c r="D41" s="806" t="s">
        <v>155</v>
      </c>
      <c r="E41" s="806" t="s">
        <v>156</v>
      </c>
      <c r="F41" s="235">
        <v>2026</v>
      </c>
      <c r="G41" s="236" t="s">
        <v>107</v>
      </c>
      <c r="H41" s="237"/>
      <c r="I41" s="237"/>
      <c r="J41" s="237"/>
      <c r="K41" s="237"/>
      <c r="L41" s="237"/>
      <c r="M41" s="237"/>
      <c r="N41" s="237">
        <f>'Aneksi 2.0 Mbeshtet. Ushtaraket'!K19</f>
        <v>2000000000</v>
      </c>
      <c r="O41" s="237"/>
      <c r="P41" s="237"/>
      <c r="Q41" s="788">
        <f t="shared" si="7"/>
        <v>2000000000</v>
      </c>
    </row>
    <row r="42" spans="1:17">
      <c r="A42" s="60"/>
      <c r="B42" s="60"/>
      <c r="C42" s="786">
        <v>17</v>
      </c>
      <c r="D42" s="806" t="s">
        <v>155</v>
      </c>
      <c r="E42" s="806" t="s">
        <v>156</v>
      </c>
      <c r="F42" s="235">
        <v>2026</v>
      </c>
      <c r="G42" s="236" t="s">
        <v>84</v>
      </c>
      <c r="H42" s="237"/>
      <c r="I42" s="237"/>
      <c r="J42" s="237"/>
      <c r="K42" s="237"/>
      <c r="L42" s="237"/>
      <c r="M42" s="237"/>
      <c r="N42" s="237"/>
      <c r="O42" s="237"/>
      <c r="P42" s="237"/>
      <c r="Q42" s="788">
        <f t="shared" si="7"/>
        <v>0</v>
      </c>
    </row>
    <row r="43" spans="1:17">
      <c r="A43" s="60"/>
      <c r="B43" s="60"/>
      <c r="C43" s="786">
        <v>17</v>
      </c>
      <c r="D43" s="235"/>
      <c r="E43" s="235" t="s">
        <v>89</v>
      </c>
      <c r="F43" s="235">
        <v>2026</v>
      </c>
      <c r="G43" s="236"/>
      <c r="H43" s="237"/>
      <c r="I43" s="237"/>
      <c r="J43" s="237"/>
      <c r="K43" s="237"/>
      <c r="L43" s="237"/>
      <c r="M43" s="237"/>
      <c r="N43" s="237"/>
      <c r="O43" s="237"/>
      <c r="P43" s="237"/>
      <c r="Q43" s="788">
        <f t="shared" si="7"/>
        <v>0</v>
      </c>
    </row>
    <row r="44" spans="1:17">
      <c r="A44" s="60"/>
      <c r="B44" s="60"/>
      <c r="C44" s="794">
        <v>17</v>
      </c>
      <c r="D44" s="239"/>
      <c r="E44" s="239" t="s">
        <v>90</v>
      </c>
      <c r="F44" s="235">
        <v>2026</v>
      </c>
      <c r="G44" s="240"/>
      <c r="H44" s="241"/>
      <c r="I44" s="241"/>
      <c r="J44" s="241"/>
      <c r="K44" s="241"/>
      <c r="L44" s="241"/>
      <c r="M44" s="241"/>
      <c r="N44" s="241">
        <f t="shared" ref="N44:Q44" si="8">N41/N40*100</f>
        <v>38.461538461538467</v>
      </c>
      <c r="O44" s="241"/>
      <c r="P44" s="241"/>
      <c r="Q44" s="795">
        <f t="shared" si="8"/>
        <v>38.461538461538467</v>
      </c>
    </row>
    <row r="45" spans="1:17">
      <c r="A45" s="60"/>
      <c r="B45" s="60"/>
      <c r="C45" s="786">
        <v>17</v>
      </c>
      <c r="D45" s="235"/>
      <c r="E45" s="235" t="s">
        <v>108</v>
      </c>
      <c r="F45" s="235">
        <v>2026</v>
      </c>
      <c r="G45" s="236" t="s">
        <v>107</v>
      </c>
      <c r="H45" s="237"/>
      <c r="I45" s="237"/>
      <c r="J45" s="237"/>
      <c r="K45" s="237"/>
      <c r="L45" s="237"/>
      <c r="M45" s="243"/>
      <c r="N45" s="237"/>
      <c r="O45" s="237"/>
      <c r="P45" s="237"/>
      <c r="Q45" s="788">
        <f t="shared" ref="Q45:Q50" si="9">SUM(H45:P45)</f>
        <v>0</v>
      </c>
    </row>
    <row r="46" spans="1:17">
      <c r="A46" s="60"/>
      <c r="B46" s="60"/>
      <c r="C46" s="786">
        <v>17</v>
      </c>
      <c r="D46" s="806" t="s">
        <v>157</v>
      </c>
      <c r="E46" s="806" t="s">
        <v>158</v>
      </c>
      <c r="F46" s="235">
        <v>2026</v>
      </c>
      <c r="G46" s="236" t="s">
        <v>81</v>
      </c>
      <c r="H46" s="237">
        <f>'Aneksi 2.0 Emergjencat Civile'!F28</f>
        <v>2012050000</v>
      </c>
      <c r="I46" s="237">
        <f>'Aneksi 2.0 Emergjencat Civile'!F25</f>
        <v>2520000000</v>
      </c>
      <c r="J46" s="237">
        <f>'Aneksi 2.0 Emergjencat Civile'!F15</f>
        <v>261800000</v>
      </c>
      <c r="K46" s="237">
        <f>'Aneksi 2.0 Emergjencat Civile'!F16</f>
        <v>38400000</v>
      </c>
      <c r="L46" s="237">
        <f>'Aneksi 2.0 Emergjencat Civile'!F17</f>
        <v>441000000</v>
      </c>
      <c r="M46" s="243"/>
      <c r="N46" s="237">
        <f>'Aneksi 2.0 Emergjencat Civile'!F19</f>
        <v>500000000</v>
      </c>
      <c r="O46" s="237">
        <f>'Aneksi 2.0 Emergjencat Civile'!F20</f>
        <v>18000000</v>
      </c>
      <c r="P46" s="237">
        <f>'Aneksi 2.0 Emergjencat Civile'!F21</f>
        <v>0</v>
      </c>
      <c r="Q46" s="788">
        <f t="shared" si="9"/>
        <v>5791250000</v>
      </c>
    </row>
    <row r="47" spans="1:17">
      <c r="A47" s="60"/>
      <c r="B47" s="60"/>
      <c r="C47" s="786">
        <v>17</v>
      </c>
      <c r="D47" s="806" t="s">
        <v>157</v>
      </c>
      <c r="E47" s="806" t="s">
        <v>158</v>
      </c>
      <c r="F47" s="235">
        <v>2026</v>
      </c>
      <c r="G47" s="236" t="s">
        <v>82</v>
      </c>
      <c r="H47" s="246">
        <f>'Aneksi 2.0 Emergjencat Civile'!H28</f>
        <v>2012050000</v>
      </c>
      <c r="I47" s="237">
        <f>'Aneksi 2.0 Emergjencat Civile'!H25</f>
        <v>2520000000</v>
      </c>
      <c r="J47" s="237">
        <f>'Aneksi 2.0 Emergjencat Civile'!H15</f>
        <v>261800000</v>
      </c>
      <c r="K47" s="237">
        <f>'Aneksi 2.0 Emergjencat Civile'!H16</f>
        <v>38400000</v>
      </c>
      <c r="L47" s="237">
        <f>'Aneksi 2.0 Emergjencat Civile'!H17</f>
        <v>441000000</v>
      </c>
      <c r="M47" s="237"/>
      <c r="N47" s="237">
        <f>'Aneksi 2.0 Emergjencat Civile'!H19</f>
        <v>500000000</v>
      </c>
      <c r="O47" s="237">
        <f>'Aneksi 2.0 Emergjencat Civile'!H20</f>
        <v>18000000</v>
      </c>
      <c r="P47" s="237">
        <f>'Aneksi 2.0 Emergjencat Civile'!H21</f>
        <v>0</v>
      </c>
      <c r="Q47" s="788">
        <f t="shared" si="9"/>
        <v>5791250000</v>
      </c>
    </row>
    <row r="48" spans="1:17">
      <c r="A48" s="60"/>
      <c r="B48" s="60"/>
      <c r="C48" s="786">
        <v>17</v>
      </c>
      <c r="D48" s="806" t="s">
        <v>157</v>
      </c>
      <c r="E48" s="806" t="s">
        <v>158</v>
      </c>
      <c r="F48" s="235">
        <v>2026</v>
      </c>
      <c r="G48" s="236" t="s">
        <v>107</v>
      </c>
      <c r="H48" s="246">
        <f>'Aneksi 2.0 Emergjencat Civile'!K28</f>
        <v>17265921</v>
      </c>
      <c r="I48" s="237">
        <f>'Aneksi 2.0 Emergjencat Civile'!K25</f>
        <v>18375434</v>
      </c>
      <c r="J48" s="237">
        <f>'Aneksi 2.0 Emergjencat Civile'!K15</f>
        <v>69197857</v>
      </c>
      <c r="K48" s="237">
        <f>'Aneksi 2.0 Emergjencat Civile'!K16</f>
        <v>11457681</v>
      </c>
      <c r="L48" s="237">
        <f>'Aneksi 2.0 Emergjencat Civile'!K17</f>
        <v>10545664</v>
      </c>
      <c r="M48" s="237"/>
      <c r="N48" s="237">
        <f>'Aneksi 2.0 Emergjencat Civile'!K19</f>
        <v>8971865</v>
      </c>
      <c r="O48" s="237">
        <f>'Aneksi 2.0 Emergjencat Civile'!K20</f>
        <v>10110464</v>
      </c>
      <c r="P48" s="237">
        <f>'Aneksi 2.0 Emergjencat Civile'!K21</f>
        <v>0</v>
      </c>
      <c r="Q48" s="788">
        <f t="shared" si="9"/>
        <v>145924886</v>
      </c>
    </row>
    <row r="49" spans="1:17">
      <c r="A49" s="60"/>
      <c r="B49" s="60"/>
      <c r="C49" s="786">
        <v>17</v>
      </c>
      <c r="D49" s="806" t="s">
        <v>157</v>
      </c>
      <c r="E49" s="806" t="s">
        <v>158</v>
      </c>
      <c r="F49" s="235">
        <v>2026</v>
      </c>
      <c r="G49" s="236" t="s">
        <v>84</v>
      </c>
      <c r="H49" s="246"/>
      <c r="I49" s="237"/>
      <c r="J49" s="237"/>
      <c r="K49" s="237"/>
      <c r="L49" s="237"/>
      <c r="M49" s="237"/>
      <c r="N49" s="237"/>
      <c r="O49" s="237"/>
      <c r="P49" s="237"/>
      <c r="Q49" s="788">
        <f t="shared" si="9"/>
        <v>0</v>
      </c>
    </row>
    <row r="50" spans="1:17">
      <c r="A50" s="60"/>
      <c r="B50" s="60"/>
      <c r="C50" s="786">
        <v>17</v>
      </c>
      <c r="D50" s="235"/>
      <c r="E50" s="235" t="s">
        <v>89</v>
      </c>
      <c r="F50" s="235">
        <v>2026</v>
      </c>
      <c r="G50" s="236"/>
      <c r="H50" s="237"/>
      <c r="I50" s="237"/>
      <c r="J50" s="237"/>
      <c r="K50" s="237"/>
      <c r="L50" s="237"/>
      <c r="M50" s="237"/>
      <c r="N50" s="237"/>
      <c r="O50" s="237"/>
      <c r="P50" s="237"/>
      <c r="Q50" s="788">
        <f t="shared" si="9"/>
        <v>0</v>
      </c>
    </row>
    <row r="51" spans="1:17">
      <c r="A51" s="60"/>
      <c r="B51" s="60"/>
      <c r="C51" s="794">
        <v>17</v>
      </c>
      <c r="D51" s="239"/>
      <c r="E51" s="239" t="s">
        <v>90</v>
      </c>
      <c r="F51" s="235">
        <v>2026</v>
      </c>
      <c r="G51" s="240"/>
      <c r="H51" s="241">
        <f>H48/H47*100</f>
        <v>0.85812584180313611</v>
      </c>
      <c r="I51" s="241">
        <f>I48/I47*100</f>
        <v>0.72918388888888885</v>
      </c>
      <c r="J51" s="241">
        <f t="shared" ref="J51:Q51" si="10">J48/J47*100</f>
        <v>26.431572574484342</v>
      </c>
      <c r="K51" s="241">
        <f t="shared" si="10"/>
        <v>29.837710937499999</v>
      </c>
      <c r="L51" s="241">
        <f t="shared" si="10"/>
        <v>2.3913070294784582</v>
      </c>
      <c r="M51" s="241"/>
      <c r="N51" s="241">
        <f t="shared" si="10"/>
        <v>1.7943730000000002</v>
      </c>
      <c r="O51" s="241">
        <f t="shared" si="10"/>
        <v>56.169244444444445</v>
      </c>
      <c r="P51" s="241"/>
      <c r="Q51" s="795">
        <f t="shared" si="10"/>
        <v>2.5197476537880426</v>
      </c>
    </row>
    <row r="52" spans="1:17">
      <c r="A52" s="60"/>
      <c r="B52" s="60"/>
      <c r="C52" s="786">
        <v>17</v>
      </c>
      <c r="D52" s="235"/>
      <c r="E52" s="235" t="s">
        <v>109</v>
      </c>
      <c r="F52" s="235">
        <v>2026</v>
      </c>
      <c r="G52" s="236" t="s">
        <v>81</v>
      </c>
      <c r="H52" s="237">
        <f>H6+H13+H19+H25+H32+H39+H46</f>
        <v>13012050000</v>
      </c>
      <c r="I52" s="237">
        <f>I6+I13+I19+I25+I32+I39+I46</f>
        <v>16884000000</v>
      </c>
      <c r="J52" s="237">
        <f t="shared" ref="J52:P52" si="11">J6+J13+J19+J25+J32+J39+J46</f>
        <v>11081484000</v>
      </c>
      <c r="K52" s="237">
        <f t="shared" si="11"/>
        <v>1911230000</v>
      </c>
      <c r="L52" s="237">
        <f t="shared" si="11"/>
        <v>9487687000</v>
      </c>
      <c r="M52" s="237">
        <f t="shared" si="11"/>
        <v>0</v>
      </c>
      <c r="N52" s="237">
        <f t="shared" si="11"/>
        <v>5700000000</v>
      </c>
      <c r="O52" s="237">
        <f t="shared" si="11"/>
        <v>293424000</v>
      </c>
      <c r="P52" s="237">
        <f t="shared" si="11"/>
        <v>578685000</v>
      </c>
      <c r="Q52" s="795">
        <f>Q6+Q13+Q19+Q25+Q32+Q39+Q46</f>
        <v>58948560000</v>
      </c>
    </row>
    <row r="53" spans="1:17">
      <c r="A53" s="60"/>
      <c r="B53" s="60"/>
      <c r="C53" s="786">
        <v>17</v>
      </c>
      <c r="D53" s="235"/>
      <c r="E53" s="235" t="s">
        <v>109</v>
      </c>
      <c r="F53" s="235">
        <v>2026</v>
      </c>
      <c r="G53" s="236" t="s">
        <v>82</v>
      </c>
      <c r="H53" s="237">
        <f>H7+H14+H20+H26+H33+H40+H47</f>
        <v>13012050000</v>
      </c>
      <c r="I53" s="237">
        <f t="shared" ref="I53:Q53" si="12">I7+I14+I20+I26+I33+I40+I47</f>
        <v>16884000000</v>
      </c>
      <c r="J53" s="237">
        <f t="shared" si="12"/>
        <v>11081484000</v>
      </c>
      <c r="K53" s="237">
        <f t="shared" si="12"/>
        <v>1911230000</v>
      </c>
      <c r="L53" s="237">
        <f t="shared" si="12"/>
        <v>9487687000</v>
      </c>
      <c r="M53" s="237">
        <f t="shared" si="12"/>
        <v>0</v>
      </c>
      <c r="N53" s="237">
        <f t="shared" si="12"/>
        <v>5700000000</v>
      </c>
      <c r="O53" s="237">
        <f t="shared" si="12"/>
        <v>293424000</v>
      </c>
      <c r="P53" s="237">
        <f t="shared" si="12"/>
        <v>578685000</v>
      </c>
      <c r="Q53" s="795">
        <f t="shared" si="12"/>
        <v>58948560000</v>
      </c>
    </row>
    <row r="54" spans="1:17">
      <c r="A54" s="60"/>
      <c r="B54" s="60"/>
      <c r="C54" s="786">
        <v>17</v>
      </c>
      <c r="D54" s="235"/>
      <c r="E54" s="235" t="s">
        <v>109</v>
      </c>
      <c r="F54" s="235">
        <v>2026</v>
      </c>
      <c r="G54" s="236" t="s">
        <v>107</v>
      </c>
      <c r="H54" s="237">
        <f>H8+H15+H21+H27+H34+H41+H48</f>
        <v>17265921</v>
      </c>
      <c r="I54" s="237">
        <f>I8+I15+I21+I27+I34+I41+I48</f>
        <v>3865693875</v>
      </c>
      <c r="J54" s="237">
        <f t="shared" ref="J54:P54" si="13">J8+J15+J21+J27+J34+J41+J48</f>
        <v>3688379194</v>
      </c>
      <c r="K54" s="237">
        <f t="shared" si="13"/>
        <v>639270024</v>
      </c>
      <c r="L54" s="237">
        <f t="shared" si="13"/>
        <v>2373288186</v>
      </c>
      <c r="M54" s="237">
        <f t="shared" si="13"/>
        <v>0</v>
      </c>
      <c r="N54" s="237">
        <f t="shared" si="13"/>
        <v>2008971865</v>
      </c>
      <c r="O54" s="237">
        <f t="shared" si="13"/>
        <v>156610464</v>
      </c>
      <c r="P54" s="237">
        <f t="shared" si="13"/>
        <v>197338355</v>
      </c>
      <c r="Q54" s="795">
        <f>Q8+Q15+Q21+Q27+Q34+Q41+Q48</f>
        <v>12946817884</v>
      </c>
    </row>
    <row r="55" spans="1:17">
      <c r="A55" s="60"/>
      <c r="B55" s="60"/>
      <c r="C55" s="786">
        <v>17</v>
      </c>
      <c r="D55" s="235"/>
      <c r="E55" s="235" t="s">
        <v>109</v>
      </c>
      <c r="F55" s="235">
        <v>2026</v>
      </c>
      <c r="G55" s="236" t="s">
        <v>84</v>
      </c>
      <c r="H55" s="237"/>
      <c r="I55" s="237"/>
      <c r="J55" s="237"/>
      <c r="K55" s="237"/>
      <c r="L55" s="237"/>
      <c r="M55" s="237"/>
      <c r="N55" s="237"/>
      <c r="O55" s="237"/>
      <c r="P55" s="237"/>
      <c r="Q55" s="785"/>
    </row>
    <row r="56" spans="1:17">
      <c r="A56" s="60"/>
      <c r="B56" s="60"/>
      <c r="C56" s="786">
        <v>17</v>
      </c>
      <c r="D56" s="235"/>
      <c r="E56" s="235" t="s">
        <v>110</v>
      </c>
      <c r="F56" s="235">
        <v>2026</v>
      </c>
      <c r="G56" s="236" t="s">
        <v>81</v>
      </c>
      <c r="H56" s="237">
        <v>9299</v>
      </c>
      <c r="I56" s="237"/>
      <c r="J56" s="237"/>
      <c r="K56" s="237"/>
      <c r="L56" s="237"/>
      <c r="M56" s="243"/>
      <c r="N56" s="237"/>
      <c r="O56" s="237"/>
      <c r="P56" s="237"/>
      <c r="Q56" s="788">
        <v>9299</v>
      </c>
    </row>
    <row r="57" spans="1:17">
      <c r="A57" s="60"/>
      <c r="B57" s="60"/>
      <c r="C57" s="786">
        <v>17</v>
      </c>
      <c r="D57" s="235"/>
      <c r="E57" s="235" t="s">
        <v>110</v>
      </c>
      <c r="F57" s="235">
        <v>2026</v>
      </c>
      <c r="G57" s="236" t="s">
        <v>82</v>
      </c>
      <c r="H57" s="237">
        <v>9299</v>
      </c>
      <c r="I57" s="237"/>
      <c r="J57" s="237"/>
      <c r="K57" s="237"/>
      <c r="L57" s="237"/>
      <c r="M57" s="243"/>
      <c r="N57" s="237"/>
      <c r="O57" s="237"/>
      <c r="P57" s="237"/>
      <c r="Q57" s="788">
        <v>9299</v>
      </c>
    </row>
    <row r="58" spans="1:17">
      <c r="A58" s="60"/>
      <c r="B58" s="60"/>
      <c r="C58" s="786">
        <v>17</v>
      </c>
      <c r="D58" s="235"/>
      <c r="E58" s="235" t="s">
        <v>110</v>
      </c>
      <c r="F58" s="235">
        <v>2026</v>
      </c>
      <c r="G58" s="236" t="s">
        <v>111</v>
      </c>
      <c r="H58" s="237">
        <v>8846</v>
      </c>
      <c r="I58" s="237"/>
      <c r="J58" s="237"/>
      <c r="K58" s="237"/>
      <c r="L58" s="237"/>
      <c r="M58" s="243"/>
      <c r="N58" s="237"/>
      <c r="O58" s="237"/>
      <c r="P58" s="237"/>
      <c r="Q58" s="789">
        <v>8846</v>
      </c>
    </row>
    <row r="59" spans="1:17" s="594" customFormat="1" ht="12" thickBot="1">
      <c r="C59" s="800"/>
      <c r="D59" s="787"/>
      <c r="E59" s="787" t="s">
        <v>90</v>
      </c>
      <c r="F59" s="782">
        <v>2026</v>
      </c>
      <c r="G59" s="793"/>
      <c r="H59" s="796">
        <f>H54/H53*100</f>
        <v>0.13269178184836364</v>
      </c>
      <c r="I59" s="796">
        <f t="shared" ref="I59:Q59" si="14">I54/I53*100</f>
        <v>22.895604566453446</v>
      </c>
      <c r="J59" s="796">
        <f t="shared" si="14"/>
        <v>33.284162969508415</v>
      </c>
      <c r="K59" s="796">
        <f t="shared" si="14"/>
        <v>33.448094891771269</v>
      </c>
      <c r="L59" s="796">
        <f t="shared" si="14"/>
        <v>25.014402203614011</v>
      </c>
      <c r="M59" s="796"/>
      <c r="N59" s="796">
        <f t="shared" si="14"/>
        <v>35.245120438596487</v>
      </c>
      <c r="O59" s="796">
        <f t="shared" si="14"/>
        <v>53.373433665957791</v>
      </c>
      <c r="P59" s="796">
        <f t="shared" si="14"/>
        <v>34.101169893810969</v>
      </c>
      <c r="Q59" s="790">
        <f t="shared" si="14"/>
        <v>21.962907803006555</v>
      </c>
    </row>
  </sheetData>
  <mergeCells count="4">
    <mergeCell ref="C2:Q2"/>
    <mergeCell ref="C3:Q3"/>
    <mergeCell ref="A5:B5"/>
    <mergeCell ref="D4:Q4"/>
  </mergeCells>
  <pageMargins left="0.19" right="0.17" top="0.16" bottom="0.2" header="0.17" footer="0.21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6"/>
  <sheetViews>
    <sheetView topLeftCell="C1" zoomScale="150" zoomScaleNormal="150" workbookViewId="0">
      <selection activeCell="M30" sqref="M30"/>
    </sheetView>
  </sheetViews>
  <sheetFormatPr defaultRowHeight="11.25"/>
  <cols>
    <col min="1" max="2" width="0" style="690" hidden="1" customWidth="1"/>
    <col min="3" max="3" width="4.28515625" style="690" customWidth="1"/>
    <col min="4" max="4" width="4.42578125" style="690" customWidth="1"/>
    <col min="5" max="5" width="16" style="690" customWidth="1"/>
    <col min="6" max="6" width="7.5703125" style="690" customWidth="1"/>
    <col min="7" max="7" width="10.7109375" style="690" customWidth="1"/>
    <col min="8" max="8" width="4.42578125" style="690" customWidth="1"/>
    <col min="9" max="9" width="11.42578125" style="690" customWidth="1"/>
    <col min="10" max="10" width="10.85546875" style="690" customWidth="1"/>
    <col min="11" max="12" width="10.140625" style="690" customWidth="1"/>
    <col min="13" max="13" width="6" style="690" customWidth="1"/>
    <col min="14" max="14" width="10.7109375" style="690" customWidth="1"/>
    <col min="15" max="15" width="9.7109375" style="690" customWidth="1"/>
    <col min="16" max="16" width="9.85546875" style="690" customWidth="1"/>
    <col min="17" max="17" width="10.7109375" style="690" customWidth="1"/>
    <col min="18" max="16384" width="9.140625" style="690"/>
  </cols>
  <sheetData>
    <row r="1" spans="1:17">
      <c r="A1" s="962"/>
      <c r="B1" s="962"/>
      <c r="C1" s="963"/>
      <c r="D1" s="962"/>
      <c r="E1" s="962"/>
      <c r="F1" s="962"/>
      <c r="G1" s="962"/>
      <c r="H1" s="962"/>
      <c r="I1" s="962"/>
      <c r="J1" s="962"/>
      <c r="K1" s="962"/>
      <c r="L1" s="962"/>
      <c r="M1" s="962"/>
      <c r="N1" s="962"/>
      <c r="O1" s="962"/>
      <c r="P1" s="962"/>
      <c r="Q1" s="962"/>
    </row>
    <row r="2" spans="1:17" ht="10.5" customHeight="1">
      <c r="A2" s="962"/>
      <c r="B2" s="962"/>
      <c r="C2" s="1233" t="s">
        <v>62</v>
      </c>
      <c r="D2" s="1233"/>
      <c r="E2" s="1233"/>
      <c r="F2" s="1233"/>
      <c r="G2" s="1233"/>
      <c r="H2" s="1233"/>
      <c r="I2" s="1233"/>
      <c r="J2" s="1233"/>
      <c r="K2" s="1233"/>
      <c r="L2" s="1233"/>
      <c r="M2" s="1233"/>
      <c r="N2" s="1233"/>
      <c r="O2" s="1233"/>
      <c r="P2" s="1233"/>
      <c r="Q2" s="1233"/>
    </row>
    <row r="3" spans="1:17" ht="10.5" customHeight="1">
      <c r="A3" s="962"/>
      <c r="B3" s="962"/>
      <c r="C3" s="1232" t="s">
        <v>498</v>
      </c>
      <c r="D3" s="1232"/>
      <c r="E3" s="1232"/>
      <c r="F3" s="1232"/>
      <c r="G3" s="1232"/>
      <c r="H3" s="1232"/>
      <c r="I3" s="1232"/>
      <c r="J3" s="1232"/>
      <c r="K3" s="1232"/>
      <c r="L3" s="1232"/>
      <c r="M3" s="1232"/>
      <c r="N3" s="1232"/>
      <c r="O3" s="1232"/>
      <c r="P3" s="1232"/>
      <c r="Q3" s="1232"/>
    </row>
    <row r="4" spans="1:17" ht="10.5" customHeight="1" thickBot="1">
      <c r="A4" s="962"/>
      <c r="B4" s="962"/>
      <c r="C4" s="1234" t="s">
        <v>491</v>
      </c>
      <c r="D4" s="1234"/>
      <c r="E4" s="1234"/>
      <c r="F4" s="1234"/>
      <c r="G4" s="1234"/>
      <c r="H4" s="1234"/>
      <c r="I4" s="1234"/>
      <c r="J4" s="1234"/>
      <c r="K4" s="1234"/>
      <c r="L4" s="1234"/>
      <c r="M4" s="1234"/>
      <c r="N4" s="1234"/>
      <c r="O4" s="1234"/>
      <c r="P4" s="1234"/>
      <c r="Q4" s="1234"/>
    </row>
    <row r="5" spans="1:17" ht="10.5" customHeight="1" thickTop="1" thickBot="1">
      <c r="A5" s="1237"/>
      <c r="B5" s="1237"/>
      <c r="C5" s="1238" t="s">
        <v>63</v>
      </c>
      <c r="D5" s="1235" t="s">
        <v>64</v>
      </c>
      <c r="E5" s="1239" t="s">
        <v>65</v>
      </c>
      <c r="F5" s="1235" t="s">
        <v>6</v>
      </c>
      <c r="G5" s="1235" t="s">
        <v>66</v>
      </c>
      <c r="H5" s="1236" t="s">
        <v>67</v>
      </c>
      <c r="I5" s="1236"/>
      <c r="J5" s="1236"/>
      <c r="K5" s="1236"/>
      <c r="L5" s="1236"/>
      <c r="M5" s="1236"/>
      <c r="N5" s="1236"/>
      <c r="O5" s="1236"/>
      <c r="P5" s="1236"/>
      <c r="Q5" s="1236"/>
    </row>
    <row r="6" spans="1:17" ht="10.5" customHeight="1" thickTop="1" thickBot="1">
      <c r="A6" s="1237"/>
      <c r="B6" s="1237"/>
      <c r="C6" s="1238"/>
      <c r="D6" s="1235"/>
      <c r="E6" s="1239"/>
      <c r="F6" s="1235"/>
      <c r="G6" s="1235"/>
      <c r="H6" s="1120" t="s">
        <v>49</v>
      </c>
      <c r="I6" s="1120" t="s">
        <v>51</v>
      </c>
      <c r="J6" s="1120" t="s">
        <v>34</v>
      </c>
      <c r="K6" s="1120" t="s">
        <v>36</v>
      </c>
      <c r="L6" s="1120" t="s">
        <v>38</v>
      </c>
      <c r="M6" s="1120" t="s">
        <v>40</v>
      </c>
      <c r="N6" s="1120" t="s">
        <v>42</v>
      </c>
      <c r="O6" s="1120" t="s">
        <v>44</v>
      </c>
      <c r="P6" s="1120" t="s">
        <v>46</v>
      </c>
      <c r="Q6" s="1121" t="s">
        <v>68</v>
      </c>
    </row>
    <row r="7" spans="1:17" ht="10.5" customHeight="1" thickTop="1">
      <c r="A7" s="962"/>
      <c r="B7" s="962"/>
      <c r="C7" s="1238"/>
      <c r="D7" s="1235"/>
      <c r="E7" s="1239"/>
      <c r="F7" s="1122" t="s">
        <v>69</v>
      </c>
      <c r="G7" s="1235"/>
      <c r="H7" s="1123" t="s">
        <v>70</v>
      </c>
      <c r="I7" s="1123" t="s">
        <v>71</v>
      </c>
      <c r="J7" s="1123" t="s">
        <v>72</v>
      </c>
      <c r="K7" s="1123" t="s">
        <v>73</v>
      </c>
      <c r="L7" s="1123" t="s">
        <v>74</v>
      </c>
      <c r="M7" s="1123" t="s">
        <v>75</v>
      </c>
      <c r="N7" s="1123" t="s">
        <v>76</v>
      </c>
      <c r="O7" s="1123" t="s">
        <v>77</v>
      </c>
      <c r="P7" s="1123" t="s">
        <v>78</v>
      </c>
      <c r="Q7" s="1124" t="s">
        <v>68</v>
      </c>
    </row>
    <row r="8" spans="1:17" ht="10.5" customHeight="1">
      <c r="A8" s="962"/>
      <c r="B8" s="962"/>
      <c r="C8" s="964">
        <v>17</v>
      </c>
      <c r="D8" s="964" t="s">
        <v>79</v>
      </c>
      <c r="E8" s="965" t="s">
        <v>80</v>
      </c>
      <c r="F8" s="969">
        <v>2026</v>
      </c>
      <c r="G8" s="965" t="s">
        <v>81</v>
      </c>
      <c r="H8" s="964"/>
      <c r="I8" s="1101">
        <f>'Aneksi nr.1'!G33</f>
        <v>16884000000</v>
      </c>
      <c r="J8" s="1101">
        <f>'Aneksi nr.1'!G24</f>
        <v>11081484000</v>
      </c>
      <c r="K8" s="1101">
        <f>'Aneksi nr.1'!G25</f>
        <v>1911230000</v>
      </c>
      <c r="L8" s="1101">
        <f>'Aneksi nr.1'!G26</f>
        <v>9487687000</v>
      </c>
      <c r="M8" s="1101">
        <f>'Aneksi nr.1'!G27</f>
        <v>0</v>
      </c>
      <c r="N8" s="1101">
        <f>'Aneksi nr.1'!G28</f>
        <v>5700000000</v>
      </c>
      <c r="O8" s="1101">
        <f>'Aneksi nr.1'!G29</f>
        <v>293424000</v>
      </c>
      <c r="P8" s="1101">
        <f>'Aneksi nr.1'!G30</f>
        <v>578685000</v>
      </c>
      <c r="Q8" s="1101">
        <f>SUM(H8:P8)</f>
        <v>45936510000</v>
      </c>
    </row>
    <row r="9" spans="1:17" ht="10.5" customHeight="1">
      <c r="A9" s="962"/>
      <c r="B9" s="962"/>
      <c r="C9" s="964">
        <v>17</v>
      </c>
      <c r="D9" s="964" t="s">
        <v>79</v>
      </c>
      <c r="E9" s="975" t="s">
        <v>80</v>
      </c>
      <c r="F9" s="969">
        <v>2026</v>
      </c>
      <c r="G9" s="965" t="s">
        <v>82</v>
      </c>
      <c r="H9" s="964">
        <v>0</v>
      </c>
      <c r="I9" s="1101">
        <f>'Aneksi nr.1'!I33</f>
        <v>16884000000</v>
      </c>
      <c r="J9" s="1101">
        <f>'Aneksi nr.1'!I24</f>
        <v>11081484000</v>
      </c>
      <c r="K9" s="1101">
        <f>'Aneksi nr.1'!I25</f>
        <v>1911230000</v>
      </c>
      <c r="L9" s="1101">
        <f>'Aneksi nr.1'!I26</f>
        <v>9487687000</v>
      </c>
      <c r="M9" s="1101">
        <f>'Aneksi nr.1'!I27</f>
        <v>0</v>
      </c>
      <c r="N9" s="1101">
        <f>'Aneksi nr.1'!I28</f>
        <v>5700000000</v>
      </c>
      <c r="O9" s="1101">
        <f>'Aneksi nr.1'!I29</f>
        <v>293424000</v>
      </c>
      <c r="P9" s="1101">
        <f>'Aneksi nr.1'!I30</f>
        <v>578685000</v>
      </c>
      <c r="Q9" s="1101">
        <f>SUM(H9:P9)</f>
        <v>45936510000</v>
      </c>
    </row>
    <row r="10" spans="1:17" ht="10.5" customHeight="1">
      <c r="A10" s="962"/>
      <c r="B10" s="962"/>
      <c r="C10" s="964">
        <v>17</v>
      </c>
      <c r="D10" s="964" t="s">
        <v>79</v>
      </c>
      <c r="E10" s="975" t="s">
        <v>80</v>
      </c>
      <c r="F10" s="969">
        <v>2026</v>
      </c>
      <c r="G10" s="965" t="s">
        <v>83</v>
      </c>
      <c r="H10" s="964">
        <v>0</v>
      </c>
      <c r="I10" s="1101">
        <f>'Aneksi nr.1'!L34+'Aneksi 2.0 Emergjencat Civile'!K27</f>
        <v>3882959796</v>
      </c>
      <c r="J10" s="1101">
        <f>'Aneksi nr.1'!L24</f>
        <v>3688379194</v>
      </c>
      <c r="K10" s="1101">
        <f>'Aneksi nr.1'!L25</f>
        <v>639270024</v>
      </c>
      <c r="L10" s="1101">
        <f>'Aneksi nr.1'!L26</f>
        <v>2373288186</v>
      </c>
      <c r="M10" s="1101">
        <f>'Aneksi nr.1'!L27</f>
        <v>0</v>
      </c>
      <c r="N10" s="1101">
        <f>'Aneksi nr.1'!L28</f>
        <v>2008971865</v>
      </c>
      <c r="O10" s="1101">
        <f>'Aneksi nr.1'!L29</f>
        <v>156610464</v>
      </c>
      <c r="P10" s="1101">
        <f>'Aneksi nr.1'!L30</f>
        <v>197338355</v>
      </c>
      <c r="Q10" s="1101">
        <f t="shared" ref="Q10:Q23" si="0">SUM(H10:P10)</f>
        <v>12946817884</v>
      </c>
    </row>
    <row r="11" spans="1:17" ht="10.5" customHeight="1">
      <c r="A11" s="962"/>
      <c r="B11" s="962"/>
      <c r="C11" s="964">
        <v>17</v>
      </c>
      <c r="D11" s="964" t="s">
        <v>79</v>
      </c>
      <c r="E11" s="975" t="s">
        <v>80</v>
      </c>
      <c r="F11" s="969">
        <v>2026</v>
      </c>
      <c r="G11" s="965" t="s">
        <v>84</v>
      </c>
      <c r="H11" s="964"/>
      <c r="I11" s="1101"/>
      <c r="J11" s="1101"/>
      <c r="K11" s="1101"/>
      <c r="L11" s="1101"/>
      <c r="M11" s="1101"/>
      <c r="N11" s="1101"/>
      <c r="O11" s="1101"/>
      <c r="P11" s="1101"/>
      <c r="Q11" s="1101">
        <f t="shared" si="0"/>
        <v>0</v>
      </c>
    </row>
    <row r="12" spans="1:17" ht="10.5" customHeight="1">
      <c r="A12" s="962"/>
      <c r="B12" s="962"/>
      <c r="C12" s="964">
        <v>17</v>
      </c>
      <c r="D12" s="964" t="s">
        <v>85</v>
      </c>
      <c r="E12" s="975" t="s">
        <v>86</v>
      </c>
      <c r="F12" s="969">
        <v>2026</v>
      </c>
      <c r="G12" s="965" t="s">
        <v>81</v>
      </c>
      <c r="H12" s="964"/>
      <c r="I12" s="1101">
        <f>'Aneksi nr.1'!G37</f>
        <v>13012050000</v>
      </c>
      <c r="J12" s="1101"/>
      <c r="K12" s="1101"/>
      <c r="L12" s="1101"/>
      <c r="M12" s="1101"/>
      <c r="N12" s="1101"/>
      <c r="O12" s="1101"/>
      <c r="P12" s="1101"/>
      <c r="Q12" s="1101">
        <f>SUM(H12:P12)</f>
        <v>13012050000</v>
      </c>
    </row>
    <row r="13" spans="1:17" ht="10.5" customHeight="1">
      <c r="A13" s="962"/>
      <c r="B13" s="962"/>
      <c r="C13" s="964">
        <v>17</v>
      </c>
      <c r="D13" s="964" t="s">
        <v>85</v>
      </c>
      <c r="E13" s="975" t="s">
        <v>86</v>
      </c>
      <c r="F13" s="969">
        <v>2026</v>
      </c>
      <c r="G13" s="965" t="s">
        <v>82</v>
      </c>
      <c r="H13" s="964"/>
      <c r="I13" s="1101">
        <f>'Aneksi nr.1'!I37</f>
        <v>13012050000</v>
      </c>
      <c r="J13" s="1101"/>
      <c r="K13" s="1101"/>
      <c r="L13" s="1101"/>
      <c r="M13" s="1101"/>
      <c r="N13" s="1101"/>
      <c r="O13" s="1101"/>
      <c r="P13" s="1101"/>
      <c r="Q13" s="1101">
        <f t="shared" si="0"/>
        <v>13012050000</v>
      </c>
    </row>
    <row r="14" spans="1:17" ht="10.5" customHeight="1">
      <c r="A14" s="962"/>
      <c r="B14" s="962"/>
      <c r="C14" s="964">
        <v>17</v>
      </c>
      <c r="D14" s="964" t="s">
        <v>85</v>
      </c>
      <c r="E14" s="975" t="s">
        <v>86</v>
      </c>
      <c r="F14" s="969">
        <v>2026</v>
      </c>
      <c r="G14" s="965" t="s">
        <v>83</v>
      </c>
      <c r="H14" s="964">
        <v>0</v>
      </c>
      <c r="I14" s="1101"/>
      <c r="J14" s="1101"/>
      <c r="K14" s="1101"/>
      <c r="L14" s="1101"/>
      <c r="M14" s="1101"/>
      <c r="N14" s="1101"/>
      <c r="O14" s="1101"/>
      <c r="P14" s="1101"/>
      <c r="Q14" s="1101">
        <f t="shared" si="0"/>
        <v>0</v>
      </c>
    </row>
    <row r="15" spans="1:17" ht="10.5" customHeight="1">
      <c r="A15" s="962"/>
      <c r="B15" s="962"/>
      <c r="C15" s="964">
        <v>17</v>
      </c>
      <c r="D15" s="964" t="s">
        <v>85</v>
      </c>
      <c r="E15" s="975" t="s">
        <v>86</v>
      </c>
      <c r="F15" s="969">
        <v>2026</v>
      </c>
      <c r="G15" s="965" t="s">
        <v>84</v>
      </c>
      <c r="H15" s="964"/>
      <c r="I15" s="1101"/>
      <c r="J15" s="1101"/>
      <c r="K15" s="1101"/>
      <c r="L15" s="1101"/>
      <c r="M15" s="1101"/>
      <c r="N15" s="1101"/>
      <c r="O15" s="1101"/>
      <c r="P15" s="1101"/>
      <c r="Q15" s="1101">
        <f>SUM(H15:P15)</f>
        <v>0</v>
      </c>
    </row>
    <row r="16" spans="1:17" ht="10.5" customHeight="1">
      <c r="A16" s="962"/>
      <c r="B16" s="962"/>
      <c r="C16" s="964">
        <v>17</v>
      </c>
      <c r="D16" s="964" t="s">
        <v>87</v>
      </c>
      <c r="E16" s="975" t="s">
        <v>88</v>
      </c>
      <c r="F16" s="969">
        <v>2026</v>
      </c>
      <c r="G16" s="965" t="s">
        <v>81</v>
      </c>
      <c r="H16" s="964"/>
      <c r="I16" s="1101"/>
      <c r="J16" s="1101"/>
      <c r="K16" s="1101"/>
      <c r="L16" s="1101"/>
      <c r="M16" s="1101"/>
      <c r="N16" s="1101"/>
      <c r="O16" s="1101"/>
      <c r="P16" s="1101"/>
      <c r="Q16" s="1101">
        <f t="shared" si="0"/>
        <v>0</v>
      </c>
    </row>
    <row r="17" spans="1:17" ht="10.5" customHeight="1">
      <c r="A17" s="962"/>
      <c r="B17" s="962"/>
      <c r="C17" s="964">
        <v>17</v>
      </c>
      <c r="D17" s="964" t="s">
        <v>87</v>
      </c>
      <c r="E17" s="975" t="s">
        <v>88</v>
      </c>
      <c r="F17" s="969">
        <v>2026</v>
      </c>
      <c r="G17" s="965" t="s">
        <v>82</v>
      </c>
      <c r="H17" s="964"/>
      <c r="I17" s="1101"/>
      <c r="J17" s="1101"/>
      <c r="K17" s="1101"/>
      <c r="L17" s="1101"/>
      <c r="M17" s="1101"/>
      <c r="N17" s="1101"/>
      <c r="O17" s="1101"/>
      <c r="P17" s="1101"/>
      <c r="Q17" s="1101">
        <f t="shared" si="0"/>
        <v>0</v>
      </c>
    </row>
    <row r="18" spans="1:17" ht="10.5" customHeight="1">
      <c r="A18" s="962"/>
      <c r="B18" s="962"/>
      <c r="C18" s="964">
        <v>17</v>
      </c>
      <c r="D18" s="964" t="s">
        <v>87</v>
      </c>
      <c r="E18" s="975" t="s">
        <v>88</v>
      </c>
      <c r="F18" s="969">
        <v>2026</v>
      </c>
      <c r="G18" s="965" t="s">
        <v>83</v>
      </c>
      <c r="H18" s="964">
        <v>0</v>
      </c>
      <c r="I18" s="1101">
        <v>0</v>
      </c>
      <c r="J18" s="1101">
        <v>0</v>
      </c>
      <c r="K18" s="1101">
        <v>0</v>
      </c>
      <c r="L18" s="1101">
        <v>0</v>
      </c>
      <c r="M18" s="1101">
        <v>0</v>
      </c>
      <c r="N18" s="1101">
        <v>0</v>
      </c>
      <c r="O18" s="1101">
        <v>0</v>
      </c>
      <c r="P18" s="1101">
        <v>0</v>
      </c>
      <c r="Q18" s="1101">
        <f t="shared" si="0"/>
        <v>0</v>
      </c>
    </row>
    <row r="19" spans="1:17" ht="10.5" customHeight="1">
      <c r="A19" s="962"/>
      <c r="B19" s="962"/>
      <c r="C19" s="964">
        <v>17</v>
      </c>
      <c r="D19" s="964" t="s">
        <v>87</v>
      </c>
      <c r="E19" s="975" t="s">
        <v>88</v>
      </c>
      <c r="F19" s="969">
        <v>2026</v>
      </c>
      <c r="G19" s="965" t="s">
        <v>84</v>
      </c>
      <c r="H19" s="964">
        <v>0</v>
      </c>
      <c r="I19" s="1101">
        <v>0</v>
      </c>
      <c r="J19" s="1101">
        <v>0</v>
      </c>
      <c r="K19" s="1101">
        <v>0</v>
      </c>
      <c r="L19" s="1101">
        <v>0</v>
      </c>
      <c r="M19" s="1101">
        <v>0</v>
      </c>
      <c r="N19" s="1101">
        <v>0</v>
      </c>
      <c r="O19" s="1101">
        <v>0</v>
      </c>
      <c r="P19" s="1101">
        <v>0</v>
      </c>
      <c r="Q19" s="1101">
        <f t="shared" si="0"/>
        <v>0</v>
      </c>
    </row>
    <row r="20" spans="1:17" ht="10.5" customHeight="1">
      <c r="A20" s="962"/>
      <c r="B20" s="962"/>
      <c r="C20" s="964">
        <v>17</v>
      </c>
      <c r="D20" s="964"/>
      <c r="E20" s="975" t="s">
        <v>68</v>
      </c>
      <c r="F20" s="969">
        <v>2026</v>
      </c>
      <c r="G20" s="965" t="s">
        <v>81</v>
      </c>
      <c r="H20" s="964"/>
      <c r="I20" s="1101">
        <f>I8+I12</f>
        <v>29896050000</v>
      </c>
      <c r="J20" s="1101">
        <f t="shared" ref="J20:P20" si="1">J8</f>
        <v>11081484000</v>
      </c>
      <c r="K20" s="1101">
        <f t="shared" si="1"/>
        <v>1911230000</v>
      </c>
      <c r="L20" s="1101">
        <f t="shared" si="1"/>
        <v>9487687000</v>
      </c>
      <c r="M20" s="1101">
        <f t="shared" si="1"/>
        <v>0</v>
      </c>
      <c r="N20" s="1101">
        <f t="shared" si="1"/>
        <v>5700000000</v>
      </c>
      <c r="O20" s="1101">
        <f t="shared" si="1"/>
        <v>293424000</v>
      </c>
      <c r="P20" s="1101">
        <f t="shared" si="1"/>
        <v>578685000</v>
      </c>
      <c r="Q20" s="1101">
        <f>SUM(H20:P20)</f>
        <v>58948560000</v>
      </c>
    </row>
    <row r="21" spans="1:17" ht="10.5" customHeight="1">
      <c r="A21" s="962"/>
      <c r="B21" s="962"/>
      <c r="C21" s="964">
        <v>17</v>
      </c>
      <c r="D21" s="964"/>
      <c r="E21" s="975" t="s">
        <v>68</v>
      </c>
      <c r="F21" s="969">
        <v>2026</v>
      </c>
      <c r="G21" s="965" t="s">
        <v>82</v>
      </c>
      <c r="H21" s="964">
        <f t="shared" ref="H21:P22" si="2">H9</f>
        <v>0</v>
      </c>
      <c r="I21" s="1101">
        <f>I9+I13</f>
        <v>29896050000</v>
      </c>
      <c r="J21" s="1101">
        <f t="shared" si="2"/>
        <v>11081484000</v>
      </c>
      <c r="K21" s="1101">
        <f t="shared" si="2"/>
        <v>1911230000</v>
      </c>
      <c r="L21" s="1101">
        <f t="shared" si="2"/>
        <v>9487687000</v>
      </c>
      <c r="M21" s="1101">
        <f t="shared" si="2"/>
        <v>0</v>
      </c>
      <c r="N21" s="1101">
        <f t="shared" si="2"/>
        <v>5700000000</v>
      </c>
      <c r="O21" s="1101">
        <f t="shared" si="2"/>
        <v>293424000</v>
      </c>
      <c r="P21" s="1101">
        <f t="shared" si="2"/>
        <v>578685000</v>
      </c>
      <c r="Q21" s="1101">
        <f>SUM(H21:P21)</f>
        <v>58948560000</v>
      </c>
    </row>
    <row r="22" spans="1:17" ht="10.5" customHeight="1">
      <c r="A22" s="962"/>
      <c r="B22" s="962"/>
      <c r="C22" s="964">
        <v>17</v>
      </c>
      <c r="D22" s="964"/>
      <c r="E22" s="975" t="s">
        <v>68</v>
      </c>
      <c r="F22" s="969">
        <v>2026</v>
      </c>
      <c r="G22" s="965" t="s">
        <v>83</v>
      </c>
      <c r="H22" s="964">
        <f t="shared" si="2"/>
        <v>0</v>
      </c>
      <c r="I22" s="1101">
        <f>I10</f>
        <v>3882959796</v>
      </c>
      <c r="J22" s="1101">
        <f t="shared" si="2"/>
        <v>3688379194</v>
      </c>
      <c r="K22" s="1101">
        <f t="shared" si="2"/>
        <v>639270024</v>
      </c>
      <c r="L22" s="1101">
        <f t="shared" si="2"/>
        <v>2373288186</v>
      </c>
      <c r="M22" s="1101">
        <f t="shared" si="2"/>
        <v>0</v>
      </c>
      <c r="N22" s="1101">
        <f t="shared" si="2"/>
        <v>2008971865</v>
      </c>
      <c r="O22" s="1101">
        <f t="shared" si="2"/>
        <v>156610464</v>
      </c>
      <c r="P22" s="1101">
        <f t="shared" si="2"/>
        <v>197338355</v>
      </c>
      <c r="Q22" s="1101">
        <f>SUM(H22:P22)</f>
        <v>12946817884</v>
      </c>
    </row>
    <row r="23" spans="1:17" ht="10.5" customHeight="1">
      <c r="A23" s="962"/>
      <c r="B23" s="962"/>
      <c r="C23" s="964">
        <v>17</v>
      </c>
      <c r="D23" s="964"/>
      <c r="E23" s="975" t="s">
        <v>68</v>
      </c>
      <c r="F23" s="969">
        <v>2026</v>
      </c>
      <c r="G23" s="965" t="s">
        <v>84</v>
      </c>
      <c r="H23" s="964">
        <f>H11+H15+H19</f>
        <v>0</v>
      </c>
      <c r="I23" s="1101">
        <f t="shared" ref="I23:P23" si="3">I11+I15+I19</f>
        <v>0</v>
      </c>
      <c r="J23" s="1101">
        <f t="shared" si="3"/>
        <v>0</v>
      </c>
      <c r="K23" s="1101">
        <f t="shared" si="3"/>
        <v>0</v>
      </c>
      <c r="L23" s="1101">
        <f t="shared" si="3"/>
        <v>0</v>
      </c>
      <c r="M23" s="1101">
        <f t="shared" si="3"/>
        <v>0</v>
      </c>
      <c r="N23" s="1101">
        <f t="shared" si="3"/>
        <v>0</v>
      </c>
      <c r="O23" s="1101">
        <f t="shared" si="3"/>
        <v>0</v>
      </c>
      <c r="P23" s="1101">
        <f t="shared" si="3"/>
        <v>0</v>
      </c>
      <c r="Q23" s="1101">
        <f t="shared" si="0"/>
        <v>0</v>
      </c>
    </row>
    <row r="24" spans="1:17" ht="10.5" customHeight="1">
      <c r="A24" s="962"/>
      <c r="B24" s="962"/>
      <c r="C24" s="964">
        <v>17</v>
      </c>
      <c r="D24" s="964"/>
      <c r="E24" s="964" t="s">
        <v>89</v>
      </c>
      <c r="F24" s="964"/>
      <c r="G24" s="965"/>
      <c r="H24" s="964">
        <f>H21-H22</f>
        <v>0</v>
      </c>
      <c r="I24" s="1101">
        <f>I21-I22</f>
        <v>26013090204</v>
      </c>
      <c r="J24" s="1101">
        <f>J21-J22</f>
        <v>7393104806</v>
      </c>
      <c r="K24" s="1101">
        <f t="shared" ref="K24:P24" si="4">K21-K22</f>
        <v>1271959976</v>
      </c>
      <c r="L24" s="1101">
        <f t="shared" si="4"/>
        <v>7114398814</v>
      </c>
      <c r="M24" s="1101">
        <f t="shared" si="4"/>
        <v>0</v>
      </c>
      <c r="N24" s="1101">
        <f t="shared" si="4"/>
        <v>3691028135</v>
      </c>
      <c r="O24" s="1101">
        <f t="shared" si="4"/>
        <v>136813536</v>
      </c>
      <c r="P24" s="1101">
        <f t="shared" si="4"/>
        <v>381346645</v>
      </c>
      <c r="Q24" s="1101">
        <f>Q21-Q22</f>
        <v>46001742116</v>
      </c>
    </row>
    <row r="25" spans="1:17" ht="7.5" customHeight="1">
      <c r="A25" s="962"/>
      <c r="B25" s="962"/>
      <c r="C25" s="966">
        <v>17</v>
      </c>
      <c r="D25" s="967"/>
      <c r="E25" s="968" t="s">
        <v>90</v>
      </c>
      <c r="F25" s="969">
        <v>2026</v>
      </c>
      <c r="G25" s="970"/>
      <c r="H25" s="971"/>
      <c r="I25" s="971">
        <f>I22/I21*100</f>
        <v>12.988203444936705</v>
      </c>
      <c r="J25" s="971">
        <f t="shared" ref="J25:Q25" si="5">J22/J21*100</f>
        <v>33.284162969508415</v>
      </c>
      <c r="K25" s="971">
        <f t="shared" si="5"/>
        <v>33.448094891771269</v>
      </c>
      <c r="L25" s="971">
        <f t="shared" si="5"/>
        <v>25.014402203614011</v>
      </c>
      <c r="M25" s="971">
        <v>0</v>
      </c>
      <c r="N25" s="971">
        <f t="shared" si="5"/>
        <v>35.245120438596487</v>
      </c>
      <c r="O25" s="971">
        <f>O22/O21*100</f>
        <v>53.373433665957791</v>
      </c>
      <c r="P25" s="971">
        <f>P22/P21*100</f>
        <v>34.101169893810969</v>
      </c>
      <c r="Q25" s="971">
        <f t="shared" si="5"/>
        <v>21.962907803006555</v>
      </c>
    </row>
    <row r="26" spans="1:17" ht="11.25" customHeight="1">
      <c r="A26" s="962"/>
      <c r="B26" s="962"/>
      <c r="C26" s="924">
        <v>17</v>
      </c>
      <c r="D26" s="969" t="s">
        <v>91</v>
      </c>
      <c r="E26" s="637" t="s">
        <v>92</v>
      </c>
      <c r="F26" s="969">
        <v>2026</v>
      </c>
      <c r="G26" s="646" t="s">
        <v>83</v>
      </c>
      <c r="H26" s="972">
        <v>0</v>
      </c>
      <c r="I26" s="638">
        <v>159798445.13999999</v>
      </c>
      <c r="J26" s="638">
        <v>4695039</v>
      </c>
      <c r="K26" s="638"/>
      <c r="L26" s="973">
        <v>38562761.969999999</v>
      </c>
      <c r="M26" s="638"/>
      <c r="N26" s="638"/>
      <c r="O26" s="638"/>
      <c r="P26" s="638"/>
      <c r="Q26" s="974">
        <f>SUM(H26:P26)</f>
        <v>203056246.10999998</v>
      </c>
    </row>
  </sheetData>
  <mergeCells count="10">
    <mergeCell ref="A5:B6"/>
    <mergeCell ref="C5:C7"/>
    <mergeCell ref="D5:D7"/>
    <mergeCell ref="E5:E7"/>
    <mergeCell ref="F5:F6"/>
    <mergeCell ref="C3:Q3"/>
    <mergeCell ref="C2:Q2"/>
    <mergeCell ref="C4:Q4"/>
    <mergeCell ref="G5:G7"/>
    <mergeCell ref="H5:Q5"/>
  </mergeCells>
  <pageMargins left="0.28999999999999998" right="0.17" top="0.44" bottom="0.27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C4:J15"/>
  <sheetViews>
    <sheetView workbookViewId="0">
      <selection activeCell="F13" sqref="F13"/>
    </sheetView>
  </sheetViews>
  <sheetFormatPr defaultRowHeight="15"/>
  <cols>
    <col min="3" max="3" width="21.85546875" style="45" customWidth="1"/>
    <col min="4" max="4" width="11.7109375" customWidth="1"/>
    <col min="5" max="5" width="6.7109375" customWidth="1"/>
    <col min="8" max="8" width="15.42578125" customWidth="1"/>
  </cols>
  <sheetData>
    <row r="4" spans="3:10">
      <c r="D4" t="s">
        <v>364</v>
      </c>
      <c r="F4" t="s">
        <v>363</v>
      </c>
    </row>
    <row r="5" spans="3:10" ht="54.75" customHeight="1">
      <c r="C5" s="1241" t="s">
        <v>367</v>
      </c>
      <c r="D5" s="1240" t="s">
        <v>368</v>
      </c>
      <c r="E5" s="1240"/>
      <c r="F5" s="1240" t="s">
        <v>368</v>
      </c>
      <c r="G5" s="1240"/>
      <c r="H5" s="170" t="s">
        <v>369</v>
      </c>
      <c r="I5" s="170"/>
    </row>
    <row r="6" spans="3:10">
      <c r="C6" s="1242"/>
      <c r="D6" s="156" t="s">
        <v>321</v>
      </c>
      <c r="E6" s="156" t="s">
        <v>365</v>
      </c>
      <c r="F6" s="156" t="s">
        <v>321</v>
      </c>
      <c r="G6" s="156" t="s">
        <v>365</v>
      </c>
      <c r="H6" s="156" t="s">
        <v>321</v>
      </c>
      <c r="I6" s="156" t="s">
        <v>365</v>
      </c>
      <c r="J6" s="40"/>
    </row>
    <row r="7" spans="3:10" ht="30.75" customHeight="1">
      <c r="C7" s="169" t="s">
        <v>28</v>
      </c>
      <c r="D7" s="161">
        <v>398</v>
      </c>
      <c r="E7" s="157">
        <f>D7/D13*100</f>
        <v>4.4449408085771722</v>
      </c>
      <c r="F7" s="46">
        <v>333</v>
      </c>
      <c r="G7" s="157">
        <f>F7/F13*100</f>
        <v>3.9227235245611967</v>
      </c>
      <c r="H7" s="162">
        <f t="shared" ref="H7:H13" si="0">D7-F7</f>
        <v>65</v>
      </c>
      <c r="I7" s="157">
        <f>H7/H13*100</f>
        <v>13.978494623655912</v>
      </c>
    </row>
    <row r="8" spans="3:10" ht="15.75">
      <c r="C8" s="169" t="s">
        <v>148</v>
      </c>
      <c r="D8" s="161">
        <v>4255</v>
      </c>
      <c r="E8" s="157">
        <f>D8/D13*100</f>
        <v>47.520661157024797</v>
      </c>
      <c r="F8" s="46">
        <v>4106</v>
      </c>
      <c r="G8" s="157">
        <f>F8/F13*100</f>
        <v>48.368476852397215</v>
      </c>
      <c r="H8" s="162">
        <f t="shared" si="0"/>
        <v>149</v>
      </c>
      <c r="I8" s="157">
        <f>H8/H13*100</f>
        <v>32.043010752688176</v>
      </c>
    </row>
    <row r="9" spans="3:10" ht="15.75">
      <c r="C9" s="169" t="s">
        <v>150</v>
      </c>
      <c r="D9" s="161">
        <v>3249</v>
      </c>
      <c r="E9" s="157">
        <f>D9/D13*100</f>
        <v>36.285459012731742</v>
      </c>
      <c r="F9" s="46">
        <v>3066</v>
      </c>
      <c r="G9" s="157">
        <f>F9/F13*100</f>
        <v>36.117328307221108</v>
      </c>
      <c r="H9" s="162">
        <f t="shared" si="0"/>
        <v>183</v>
      </c>
      <c r="I9" s="157">
        <f>H9/H13*100</f>
        <v>39.354838709677423</v>
      </c>
    </row>
    <row r="10" spans="3:10" ht="15.75">
      <c r="C10" s="169" t="s">
        <v>154</v>
      </c>
      <c r="D10" s="161">
        <v>375</v>
      </c>
      <c r="E10" s="157">
        <f>D10/D13*100</f>
        <v>4.188072369890552</v>
      </c>
      <c r="F10" s="46">
        <v>343</v>
      </c>
      <c r="G10" s="157">
        <f>F10/F13*100</f>
        <v>4.0405230298032748</v>
      </c>
      <c r="H10" s="162">
        <f t="shared" si="0"/>
        <v>32</v>
      </c>
      <c r="I10" s="157">
        <f>H10/H13*100</f>
        <v>6.881720430107527</v>
      </c>
    </row>
    <row r="11" spans="3:10" ht="31.5">
      <c r="C11" s="169" t="s">
        <v>152</v>
      </c>
      <c r="D11" s="161">
        <v>481</v>
      </c>
      <c r="E11" s="157">
        <f>D11/D13*100</f>
        <v>5.3719008264462813</v>
      </c>
      <c r="F11" s="46">
        <v>468</v>
      </c>
      <c r="G11" s="157">
        <f>F11/F13*100</f>
        <v>5.5130168453292496</v>
      </c>
      <c r="H11" s="162">
        <f t="shared" si="0"/>
        <v>13</v>
      </c>
      <c r="I11" s="157">
        <f>H11/H13*100</f>
        <v>2.795698924731183</v>
      </c>
    </row>
    <row r="12" spans="3:10" ht="15.75">
      <c r="C12" s="169" t="s">
        <v>158</v>
      </c>
      <c r="D12" s="161">
        <v>196</v>
      </c>
      <c r="E12" s="157">
        <f>D12/D13*100</f>
        <v>2.1889658253294617</v>
      </c>
      <c r="F12" s="46">
        <v>173</v>
      </c>
      <c r="G12" s="157">
        <f>F12/F13*100</f>
        <v>2.0379314406879492</v>
      </c>
      <c r="H12" s="162">
        <f t="shared" si="0"/>
        <v>23</v>
      </c>
      <c r="I12" s="157">
        <f>H12/H13*100</f>
        <v>4.946236559139785</v>
      </c>
    </row>
    <row r="13" spans="3:10">
      <c r="C13" s="166" t="s">
        <v>366</v>
      </c>
      <c r="D13" s="163">
        <f>SUM(D7:D12)</f>
        <v>8954</v>
      </c>
      <c r="E13" s="167">
        <f>SUM(E7:E12)</f>
        <v>100</v>
      </c>
      <c r="F13" s="163">
        <f>SUM(F7:F12)</f>
        <v>8489</v>
      </c>
      <c r="G13" s="167">
        <f>SUM(G7:G12)</f>
        <v>99.999999999999986</v>
      </c>
      <c r="H13" s="164">
        <f t="shared" si="0"/>
        <v>465</v>
      </c>
      <c r="I13" s="168">
        <f>SUM(I7:I12)</f>
        <v>100</v>
      </c>
      <c r="J13" s="40"/>
    </row>
    <row r="15" spans="3:10" ht="15.75">
      <c r="C15" s="165"/>
    </row>
  </sheetData>
  <mergeCells count="3">
    <mergeCell ref="D5:E5"/>
    <mergeCell ref="F5:G5"/>
    <mergeCell ref="C5:C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59999389629810485"/>
  </sheetPr>
  <dimension ref="A1:S34"/>
  <sheetViews>
    <sheetView zoomScaleNormal="100" workbookViewId="0">
      <pane xSplit="5" ySplit="12" topLeftCell="F16" activePane="bottomRight" state="frozen"/>
      <selection pane="topRight" activeCell="F1" sqref="F1"/>
      <selection pane="bottomLeft" activeCell="A13" sqref="A13"/>
      <selection pane="bottomRight" activeCell="E38" sqref="E38"/>
    </sheetView>
  </sheetViews>
  <sheetFormatPr defaultRowHeight="15"/>
  <cols>
    <col min="1" max="1" width="4.42578125" style="34" customWidth="1"/>
    <col min="2" max="2" width="11.5703125" style="34" customWidth="1"/>
    <col min="3" max="3" width="45.85546875" style="34" customWidth="1"/>
    <col min="4" max="4" width="14.42578125" style="44" customWidth="1"/>
    <col min="5" max="5" width="11.85546875" style="44" customWidth="1"/>
    <col min="6" max="6" width="14.42578125" style="44" customWidth="1"/>
    <col min="7" max="7" width="10" style="44" customWidth="1"/>
    <col min="8" max="8" width="18.7109375" style="44" customWidth="1"/>
    <col min="9" max="9" width="8.140625" style="44" customWidth="1"/>
    <col min="10" max="10" width="10" style="44" customWidth="1"/>
    <col min="11" max="11" width="16.5703125" style="44" customWidth="1"/>
    <col min="12" max="12" width="7.5703125" style="44" customWidth="1"/>
    <col min="13" max="13" width="13" style="44" customWidth="1"/>
    <col min="14" max="14" width="6.7109375" style="44" customWidth="1"/>
    <col min="15" max="15" width="22" style="34" hidden="1" customWidth="1"/>
    <col min="16" max="16" width="11.5703125" style="44" hidden="1" customWidth="1"/>
    <col min="17" max="17" width="15.28515625" style="44" hidden="1" customWidth="1"/>
    <col min="18" max="18" width="9.140625" style="44" hidden="1" customWidth="1"/>
    <col min="19" max="19" width="15.28515625" style="44" hidden="1" customWidth="1"/>
    <col min="20" max="16384" width="9.140625" style="34"/>
  </cols>
  <sheetData>
    <row r="1" spans="1:19" ht="9.75" customHeight="1">
      <c r="A1" s="802"/>
      <c r="B1" s="265"/>
      <c r="C1" s="266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9">
      <c r="A2" s="802"/>
      <c r="B2" s="1228" t="s">
        <v>112</v>
      </c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</row>
    <row r="3" spans="1:19">
      <c r="A3" s="802"/>
      <c r="B3" s="1229" t="s">
        <v>494</v>
      </c>
      <c r="C3" s="1229"/>
      <c r="D3" s="1229"/>
      <c r="E3" s="1229"/>
      <c r="F3" s="1229"/>
      <c r="G3" s="1229"/>
      <c r="H3" s="1229"/>
      <c r="I3" s="1229"/>
      <c r="J3" s="1229"/>
      <c r="K3" s="1229"/>
      <c r="L3" s="1229"/>
      <c r="M3" s="1229"/>
      <c r="N3" s="1229"/>
    </row>
    <row r="4" spans="1:19">
      <c r="A4" s="802"/>
      <c r="B4" s="1231" t="s">
        <v>1</v>
      </c>
      <c r="C4" s="1231"/>
      <c r="D4" s="1231"/>
      <c r="E4" s="1231"/>
      <c r="F4" s="1231"/>
      <c r="G4" s="1231"/>
      <c r="H4" s="1231"/>
      <c r="I4" s="1231"/>
      <c r="J4" s="1231"/>
      <c r="K4" s="1231"/>
      <c r="L4" s="1231"/>
      <c r="M4" s="1231"/>
      <c r="N4" s="1231"/>
    </row>
    <row r="5" spans="1:19" ht="10.5" customHeight="1" thickBot="1">
      <c r="A5" s="1243"/>
      <c r="B5" s="268"/>
      <c r="C5" s="268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</row>
    <row r="6" spans="1:19" ht="16.5" thickTop="1" thickBot="1">
      <c r="A6" s="1243"/>
      <c r="B6" s="1244" t="s">
        <v>113</v>
      </c>
      <c r="C6" s="1245" t="s">
        <v>160</v>
      </c>
      <c r="D6" s="1245"/>
      <c r="E6" s="1245"/>
      <c r="F6" s="1246" t="s">
        <v>3</v>
      </c>
      <c r="G6" s="1246"/>
      <c r="H6" s="1247">
        <v>17</v>
      </c>
      <c r="I6" s="1247"/>
      <c r="J6" s="1247"/>
      <c r="K6" s="1247"/>
      <c r="L6" s="1247"/>
      <c r="M6" s="1247"/>
      <c r="N6" s="1247"/>
    </row>
    <row r="7" spans="1:19" ht="11.25" customHeight="1" thickTop="1">
      <c r="A7" s="802"/>
      <c r="B7" s="1244"/>
      <c r="C7" s="1245"/>
      <c r="D7" s="1245"/>
      <c r="E7" s="1245"/>
      <c r="F7" s="1246"/>
      <c r="G7" s="1246"/>
      <c r="H7" s="1247"/>
      <c r="I7" s="1247"/>
      <c r="J7" s="1247"/>
      <c r="K7" s="1247"/>
      <c r="L7" s="1247"/>
      <c r="M7" s="1247"/>
      <c r="N7" s="1247"/>
    </row>
    <row r="8" spans="1:19">
      <c r="A8" s="802"/>
      <c r="B8" s="269" t="s">
        <v>114</v>
      </c>
      <c r="C8" s="1250" t="s">
        <v>28</v>
      </c>
      <c r="D8" s="1250"/>
      <c r="E8" s="1250"/>
      <c r="F8" s="1251" t="s">
        <v>115</v>
      </c>
      <c r="G8" s="1251"/>
      <c r="H8" s="1252" t="s">
        <v>27</v>
      </c>
      <c r="I8" s="1252"/>
      <c r="J8" s="1252"/>
      <c r="K8" s="1252"/>
      <c r="L8" s="1252"/>
      <c r="M8" s="1252"/>
      <c r="N8" s="1252"/>
    </row>
    <row r="9" spans="1:19" ht="15.75" thickBot="1">
      <c r="A9" s="802"/>
      <c r="B9" s="1253" t="s">
        <v>4</v>
      </c>
      <c r="C9" s="1253"/>
      <c r="D9" s="1254" t="s">
        <v>116</v>
      </c>
      <c r="E9" s="1254"/>
      <c r="F9" s="1254"/>
      <c r="G9" s="1254"/>
      <c r="H9" s="1254"/>
      <c r="I9" s="1254"/>
      <c r="J9" s="1254"/>
      <c r="K9" s="1254"/>
      <c r="L9" s="1254"/>
      <c r="M9" s="1254"/>
      <c r="N9" s="1254"/>
    </row>
    <row r="10" spans="1:19" ht="16.5" customHeight="1" thickTop="1" thickBot="1">
      <c r="A10" s="802"/>
      <c r="B10" s="1253"/>
      <c r="C10" s="1253"/>
      <c r="D10" s="614" t="s">
        <v>117</v>
      </c>
      <c r="E10" s="615">
        <v>2025</v>
      </c>
      <c r="F10" s="1255" t="s">
        <v>6</v>
      </c>
      <c r="G10" s="1255"/>
      <c r="H10" s="1255" t="s">
        <v>6</v>
      </c>
      <c r="I10" s="1255"/>
      <c r="J10" s="763" t="s">
        <v>6</v>
      </c>
      <c r="K10" s="1255" t="s">
        <v>6</v>
      </c>
      <c r="L10" s="1255"/>
      <c r="M10" s="1256" t="s">
        <v>118</v>
      </c>
      <c r="N10" s="1257" t="s">
        <v>8</v>
      </c>
    </row>
    <row r="11" spans="1:19" ht="61.5" customHeight="1" thickTop="1" thickBot="1">
      <c r="A11" s="802"/>
      <c r="B11" s="1253"/>
      <c r="C11" s="1253"/>
      <c r="D11" s="615" t="s">
        <v>119</v>
      </c>
      <c r="E11" s="616" t="s">
        <v>10</v>
      </c>
      <c r="F11" s="270" t="s">
        <v>495</v>
      </c>
      <c r="G11" s="271" t="s">
        <v>10</v>
      </c>
      <c r="H11" s="270" t="s">
        <v>496</v>
      </c>
      <c r="I11" s="271" t="s">
        <v>10</v>
      </c>
      <c r="J11" s="272" t="s">
        <v>120</v>
      </c>
      <c r="K11" s="270" t="s">
        <v>12</v>
      </c>
      <c r="L11" s="271" t="s">
        <v>10</v>
      </c>
      <c r="M11" s="1256"/>
      <c r="N11" s="1257"/>
    </row>
    <row r="12" spans="1:19" ht="16.5" thickTop="1" thickBot="1">
      <c r="A12" s="802"/>
      <c r="B12" s="1253"/>
      <c r="C12" s="1253"/>
      <c r="D12" s="273" t="s">
        <v>13</v>
      </c>
      <c r="E12" s="273" t="s">
        <v>14</v>
      </c>
      <c r="F12" s="273" t="s">
        <v>15</v>
      </c>
      <c r="G12" s="273" t="s">
        <v>16</v>
      </c>
      <c r="H12" s="273" t="s">
        <v>17</v>
      </c>
      <c r="I12" s="273" t="s">
        <v>18</v>
      </c>
      <c r="J12" s="273" t="s">
        <v>19</v>
      </c>
      <c r="K12" s="273" t="s">
        <v>20</v>
      </c>
      <c r="L12" s="273" t="s">
        <v>21</v>
      </c>
      <c r="M12" s="273" t="s">
        <v>22</v>
      </c>
      <c r="N12" s="274" t="s">
        <v>23</v>
      </c>
    </row>
    <row r="13" spans="1:19" ht="15.75" thickTop="1">
      <c r="A13" s="802"/>
      <c r="B13" s="1248" t="s">
        <v>32</v>
      </c>
      <c r="C13" s="1248"/>
      <c r="D13" s="195"/>
      <c r="E13" s="208"/>
      <c r="F13" s="195"/>
      <c r="G13" s="208"/>
      <c r="H13" s="195"/>
      <c r="I13" s="208"/>
      <c r="J13" s="275"/>
      <c r="K13" s="195"/>
      <c r="L13" s="208"/>
      <c r="M13" s="195"/>
      <c r="N13" s="276"/>
    </row>
    <row r="14" spans="1:19">
      <c r="A14" s="802"/>
      <c r="B14" s="277" t="s">
        <v>25</v>
      </c>
      <c r="C14" s="278" t="s">
        <v>26</v>
      </c>
      <c r="D14" s="209"/>
      <c r="E14" s="208"/>
      <c r="F14" s="195"/>
      <c r="G14" s="208"/>
      <c r="H14" s="195"/>
      <c r="I14" s="208"/>
      <c r="J14" s="279"/>
      <c r="K14" s="195"/>
      <c r="L14" s="208"/>
      <c r="M14" s="195"/>
      <c r="N14" s="276"/>
    </row>
    <row r="15" spans="1:19">
      <c r="A15" s="802"/>
      <c r="B15" s="210" t="s">
        <v>34</v>
      </c>
      <c r="C15" s="211" t="s">
        <v>35</v>
      </c>
      <c r="D15" s="209">
        <v>665077065</v>
      </c>
      <c r="E15" s="212">
        <f>D15/D22*100</f>
        <v>42.116164014509089</v>
      </c>
      <c r="F15" s="209">
        <v>612980000</v>
      </c>
      <c r="G15" s="212">
        <f>F15/F22*100</f>
        <v>42.680685141345215</v>
      </c>
      <c r="H15" s="209">
        <v>612980000</v>
      </c>
      <c r="I15" s="212">
        <f>H15/H22*100</f>
        <v>42.680685141345215</v>
      </c>
      <c r="J15" s="209">
        <f>H15-F15</f>
        <v>0</v>
      </c>
      <c r="K15" s="209">
        <v>170597674</v>
      </c>
      <c r="L15" s="212">
        <f>K15/K22*100</f>
        <v>30.045304181274606</v>
      </c>
      <c r="M15" s="212">
        <f>H15-K15</f>
        <v>442382326</v>
      </c>
      <c r="N15" s="280">
        <f>K15/H15*100</f>
        <v>27.830871154034387</v>
      </c>
      <c r="O15" s="217"/>
      <c r="P15" s="217"/>
      <c r="S15" s="613"/>
    </row>
    <row r="16" spans="1:19">
      <c r="A16" s="802"/>
      <c r="B16" s="210" t="s">
        <v>36</v>
      </c>
      <c r="C16" s="211" t="s">
        <v>37</v>
      </c>
      <c r="D16" s="209">
        <v>107335094</v>
      </c>
      <c r="E16" s="212">
        <f>D16/D22*100</f>
        <v>6.7970204677209116</v>
      </c>
      <c r="F16" s="209">
        <v>114900000</v>
      </c>
      <c r="G16" s="212">
        <f>F16/F22*100</f>
        <v>8.0002785127419589</v>
      </c>
      <c r="H16" s="209">
        <v>114900000</v>
      </c>
      <c r="I16" s="212">
        <f>H16/H22*100</f>
        <v>8.0002785127419589</v>
      </c>
      <c r="J16" s="209">
        <f t="shared" ref="J16:J21" si="0">H16-F16</f>
        <v>0</v>
      </c>
      <c r="K16" s="209">
        <v>34485603</v>
      </c>
      <c r="L16" s="212">
        <f>K16/K22*100</f>
        <v>6.0735319990920624</v>
      </c>
      <c r="M16" s="212">
        <f>H16-K16</f>
        <v>80414397</v>
      </c>
      <c r="N16" s="280">
        <f t="shared" ref="N16:N21" si="1">K16/H16*100</f>
        <v>30.013579634464755</v>
      </c>
      <c r="O16" s="217"/>
      <c r="P16" s="217"/>
    </row>
    <row r="17" spans="1:16">
      <c r="A17" s="802"/>
      <c r="B17" s="210" t="s">
        <v>38</v>
      </c>
      <c r="C17" s="211" t="s">
        <v>39</v>
      </c>
      <c r="D17" s="209">
        <v>521568122</v>
      </c>
      <c r="E17" s="212">
        <f>D17/D22*100</f>
        <v>33.028425917666382</v>
      </c>
      <c r="F17" s="209">
        <v>399896000</v>
      </c>
      <c r="G17" s="212">
        <f>F17/F22*100</f>
        <v>27.84403286450355</v>
      </c>
      <c r="H17" s="209">
        <v>399896000</v>
      </c>
      <c r="I17" s="212">
        <f>H17/H22*100</f>
        <v>27.84403286450355</v>
      </c>
      <c r="J17" s="209">
        <f t="shared" si="0"/>
        <v>0</v>
      </c>
      <c r="K17" s="209">
        <v>207346272</v>
      </c>
      <c r="L17" s="212">
        <f>K17/K22*100</f>
        <v>36.517390108691053</v>
      </c>
      <c r="M17" s="212">
        <f t="shared" ref="M17:M27" si="2">H17-K17</f>
        <v>192549728</v>
      </c>
      <c r="N17" s="280">
        <f t="shared" si="1"/>
        <v>51.850049012743312</v>
      </c>
      <c r="O17" s="217"/>
      <c r="P17" s="217"/>
    </row>
    <row r="18" spans="1:16" ht="15.75" customHeight="1">
      <c r="A18" s="802"/>
      <c r="B18" s="210" t="s">
        <v>40</v>
      </c>
      <c r="C18" s="211" t="s">
        <v>41</v>
      </c>
      <c r="D18" s="209">
        <v>0</v>
      </c>
      <c r="E18" s="212">
        <f>D18/D22*100</f>
        <v>0</v>
      </c>
      <c r="F18" s="209"/>
      <c r="G18" s="212">
        <f>F18/F22*100</f>
        <v>0</v>
      </c>
      <c r="H18" s="209"/>
      <c r="I18" s="212">
        <f>H18/H22*100</f>
        <v>0</v>
      </c>
      <c r="J18" s="209">
        <f t="shared" si="0"/>
        <v>0</v>
      </c>
      <c r="K18" s="209"/>
      <c r="L18" s="212">
        <f>K18/K22*100</f>
        <v>0</v>
      </c>
      <c r="M18" s="212">
        <f t="shared" si="2"/>
        <v>0</v>
      </c>
      <c r="N18" s="280">
        <v>0</v>
      </c>
      <c r="O18" s="217"/>
      <c r="P18" s="217"/>
    </row>
    <row r="19" spans="1:16">
      <c r="A19" s="802"/>
      <c r="B19" s="210" t="s">
        <v>42</v>
      </c>
      <c r="C19" s="211" t="s">
        <v>43</v>
      </c>
      <c r="D19" s="209">
        <v>0</v>
      </c>
      <c r="E19" s="212">
        <f>D19/D22*100</f>
        <v>0</v>
      </c>
      <c r="F19" s="209"/>
      <c r="G19" s="212">
        <f>F19/F22*100</f>
        <v>0</v>
      </c>
      <c r="H19" s="209"/>
      <c r="I19" s="212">
        <f>H19/H22*100</f>
        <v>0</v>
      </c>
      <c r="J19" s="209">
        <f t="shared" si="0"/>
        <v>0</v>
      </c>
      <c r="K19" s="209"/>
      <c r="L19" s="212">
        <f>K19/K22*100</f>
        <v>0</v>
      </c>
      <c r="M19" s="212">
        <f t="shared" si="2"/>
        <v>0</v>
      </c>
      <c r="N19" s="280">
        <v>0</v>
      </c>
      <c r="O19" s="217"/>
      <c r="P19" s="217"/>
    </row>
    <row r="20" spans="1:16">
      <c r="A20" s="802"/>
      <c r="B20" s="210" t="s">
        <v>44</v>
      </c>
      <c r="C20" s="211" t="s">
        <v>45</v>
      </c>
      <c r="D20" s="209">
        <v>240411100</v>
      </c>
      <c r="E20" s="212">
        <f>D20/D22*100</f>
        <v>15.224090336822165</v>
      </c>
      <c r="F20" s="209">
        <v>275424000</v>
      </c>
      <c r="G20" s="212">
        <f>F20/F22*100</f>
        <v>19.17727336025623</v>
      </c>
      <c r="H20" s="209">
        <v>275424000</v>
      </c>
      <c r="I20" s="212">
        <f>H20/H22*100</f>
        <v>19.17727336025623</v>
      </c>
      <c r="J20" s="209">
        <f t="shared" si="0"/>
        <v>0</v>
      </c>
      <c r="K20" s="209">
        <v>146500000</v>
      </c>
      <c r="L20" s="212">
        <f>K20/K22*100</f>
        <v>25.801272428583811</v>
      </c>
      <c r="M20" s="212">
        <f t="shared" si="2"/>
        <v>128924000</v>
      </c>
      <c r="N20" s="280">
        <f t="shared" si="1"/>
        <v>53.19071685837109</v>
      </c>
      <c r="O20" s="217"/>
      <c r="P20" s="217"/>
    </row>
    <row r="21" spans="1:16" ht="16.5" customHeight="1">
      <c r="A21" s="802"/>
      <c r="B21" s="210" t="s">
        <v>46</v>
      </c>
      <c r="C21" s="211" t="s">
        <v>47</v>
      </c>
      <c r="D21" s="209">
        <v>44757814</v>
      </c>
      <c r="E21" s="212">
        <f>D21/D22*100</f>
        <v>2.8342992632814532</v>
      </c>
      <c r="F21" s="209">
        <v>33000000</v>
      </c>
      <c r="G21" s="212">
        <f>F21/F22*100</f>
        <v>2.2977301211530428</v>
      </c>
      <c r="H21" s="209">
        <v>33000000</v>
      </c>
      <c r="I21" s="212">
        <f>H21/H22*100</f>
        <v>2.2977301211530428</v>
      </c>
      <c r="J21" s="209">
        <f t="shared" si="0"/>
        <v>0</v>
      </c>
      <c r="K21" s="209">
        <v>8871905</v>
      </c>
      <c r="L21" s="212">
        <f>K21/K22*100</f>
        <v>1.5625012823584632</v>
      </c>
      <c r="M21" s="212">
        <f t="shared" si="2"/>
        <v>24128095</v>
      </c>
      <c r="N21" s="280">
        <f t="shared" si="1"/>
        <v>26.884560606060603</v>
      </c>
      <c r="O21" s="217"/>
      <c r="P21" s="217"/>
    </row>
    <row r="22" spans="1:16">
      <c r="A22" s="802"/>
      <c r="B22" s="281"/>
      <c r="C22" s="282" t="s">
        <v>121</v>
      </c>
      <c r="D22" s="213">
        <f>SUM(D15:D21)</f>
        <v>1579149195</v>
      </c>
      <c r="E22" s="283">
        <f>D22/D30*100</f>
        <v>95.313039564221768</v>
      </c>
      <c r="F22" s="213">
        <f>SUM(F15:F21)</f>
        <v>1436200000</v>
      </c>
      <c r="G22" s="283">
        <f>F22/F30*100</f>
        <v>94.72365123334653</v>
      </c>
      <c r="H22" s="213">
        <f>SUM(H15:H21)</f>
        <v>1436200000</v>
      </c>
      <c r="I22" s="283">
        <f>H22/H30*100</f>
        <v>94.72365123334653</v>
      </c>
      <c r="J22" s="213">
        <f>SUM(J15:J21)</f>
        <v>0</v>
      </c>
      <c r="K22" s="213">
        <f>SUM(K15:K21)</f>
        <v>567801454</v>
      </c>
      <c r="L22" s="283">
        <f>K22/K30*100</f>
        <v>100</v>
      </c>
      <c r="M22" s="213">
        <f>SUM(M15:M21)</f>
        <v>868398546</v>
      </c>
      <c r="N22" s="284">
        <f>K22/H22*100</f>
        <v>39.534984960311938</v>
      </c>
      <c r="O22" s="217"/>
      <c r="P22" s="217"/>
    </row>
    <row r="23" spans="1:16">
      <c r="A23" s="802"/>
      <c r="B23" s="210" t="s">
        <v>49</v>
      </c>
      <c r="C23" s="211" t="s">
        <v>50</v>
      </c>
      <c r="D23" s="209">
        <v>0</v>
      </c>
      <c r="E23" s="212">
        <f>D23/D25*100</f>
        <v>0</v>
      </c>
      <c r="F23" s="209">
        <v>0</v>
      </c>
      <c r="G23" s="212">
        <f>F23/F25*100</f>
        <v>0</v>
      </c>
      <c r="H23" s="209"/>
      <c r="I23" s="212">
        <f>H23/H25*100</f>
        <v>0</v>
      </c>
      <c r="J23" s="209"/>
      <c r="K23" s="209">
        <v>0</v>
      </c>
      <c r="L23" s="212" t="e">
        <f>K23/K25*100</f>
        <v>#DIV/0!</v>
      </c>
      <c r="M23" s="209">
        <f t="shared" si="2"/>
        <v>0</v>
      </c>
      <c r="N23" s="212">
        <f>M23/M30*100</f>
        <v>0</v>
      </c>
      <c r="O23" s="217"/>
      <c r="P23" s="217"/>
    </row>
    <row r="24" spans="1:16">
      <c r="A24" s="802"/>
      <c r="B24" s="210" t="s">
        <v>51</v>
      </c>
      <c r="C24" s="211" t="s">
        <v>52</v>
      </c>
      <c r="D24" s="209">
        <v>77653696</v>
      </c>
      <c r="E24" s="212">
        <f>D24/D25*100</f>
        <v>100</v>
      </c>
      <c r="F24" s="209">
        <v>80000000</v>
      </c>
      <c r="G24" s="212">
        <f>F24/F25*100</f>
        <v>100</v>
      </c>
      <c r="H24" s="209">
        <v>80000000</v>
      </c>
      <c r="I24" s="212">
        <f>H24/H25*100</f>
        <v>100</v>
      </c>
      <c r="J24" s="209">
        <f>H24-F24</f>
        <v>0</v>
      </c>
      <c r="K24" s="209"/>
      <c r="L24" s="212" t="e">
        <f>K24/K25*100</f>
        <v>#DIV/0!</v>
      </c>
      <c r="M24" s="209">
        <f t="shared" si="2"/>
        <v>80000000</v>
      </c>
      <c r="N24" s="212">
        <f>M24/M30*100</f>
        <v>8.4352723164128509</v>
      </c>
      <c r="O24" s="217"/>
      <c r="P24" s="217"/>
    </row>
    <row r="25" spans="1:16">
      <c r="A25" s="802"/>
      <c r="B25" s="281"/>
      <c r="C25" s="282" t="s">
        <v>122</v>
      </c>
      <c r="D25" s="213">
        <f>D23+D24</f>
        <v>77653696</v>
      </c>
      <c r="E25" s="213">
        <f>D25/D30*100</f>
        <v>4.6869604357782357</v>
      </c>
      <c r="F25" s="213">
        <f t="shared" ref="F25:K25" si="3">F23+F24</f>
        <v>80000000</v>
      </c>
      <c r="G25" s="213">
        <f>F25/F30*100</f>
        <v>5.2763487666534754</v>
      </c>
      <c r="H25" s="213">
        <f>H23+H24</f>
        <v>80000000</v>
      </c>
      <c r="I25" s="213">
        <f>H25/H30*100</f>
        <v>5.2763487666534754</v>
      </c>
      <c r="J25" s="213">
        <f t="shared" si="3"/>
        <v>0</v>
      </c>
      <c r="K25" s="213">
        <f t="shared" si="3"/>
        <v>0</v>
      </c>
      <c r="L25" s="213">
        <f>K25/K30*100</f>
        <v>0</v>
      </c>
      <c r="M25" s="213">
        <f t="shared" si="2"/>
        <v>80000000</v>
      </c>
      <c r="N25" s="284">
        <f>K25/H25*100</f>
        <v>0</v>
      </c>
      <c r="O25" s="217"/>
      <c r="P25" s="217"/>
    </row>
    <row r="26" spans="1:16">
      <c r="A26" s="802"/>
      <c r="B26" s="210" t="s">
        <v>49</v>
      </c>
      <c r="C26" s="211" t="s">
        <v>50</v>
      </c>
      <c r="D26" s="209">
        <v>0</v>
      </c>
      <c r="E26" s="209">
        <f t="shared" ref="E26:G27" si="4">D26/D29*100</f>
        <v>0</v>
      </c>
      <c r="F26" s="209">
        <v>0</v>
      </c>
      <c r="G26" s="209">
        <f t="shared" si="4"/>
        <v>0</v>
      </c>
      <c r="H26" s="209">
        <v>0</v>
      </c>
      <c r="I26" s="209">
        <f>H26/H29*100</f>
        <v>0</v>
      </c>
      <c r="J26" s="209">
        <v>0</v>
      </c>
      <c r="K26" s="209">
        <v>0</v>
      </c>
      <c r="L26" s="209" t="e">
        <f>K26/K29*100</f>
        <v>#DIV/0!</v>
      </c>
      <c r="M26" s="209">
        <f t="shared" si="2"/>
        <v>0</v>
      </c>
      <c r="N26" s="216">
        <v>0</v>
      </c>
      <c r="O26" s="217"/>
      <c r="P26" s="217"/>
    </row>
    <row r="27" spans="1:16">
      <c r="A27" s="802"/>
      <c r="B27" s="210" t="s">
        <v>51</v>
      </c>
      <c r="C27" s="211" t="s">
        <v>52</v>
      </c>
      <c r="D27" s="209">
        <v>0</v>
      </c>
      <c r="E27" s="209">
        <f t="shared" si="4"/>
        <v>0</v>
      </c>
      <c r="F27" s="209">
        <v>0</v>
      </c>
      <c r="G27" s="209">
        <f t="shared" si="4"/>
        <v>0</v>
      </c>
      <c r="H27" s="209">
        <v>0</v>
      </c>
      <c r="I27" s="209">
        <f>H27/H30*100</f>
        <v>0</v>
      </c>
      <c r="J27" s="209">
        <f>H27-F27</f>
        <v>0</v>
      </c>
      <c r="K27" s="209"/>
      <c r="L27" s="209">
        <f>K27/K30*100</f>
        <v>0</v>
      </c>
      <c r="M27" s="209">
        <f t="shared" si="2"/>
        <v>0</v>
      </c>
      <c r="N27" s="216">
        <v>0</v>
      </c>
      <c r="O27" s="217"/>
      <c r="P27" s="217"/>
    </row>
    <row r="28" spans="1:16">
      <c r="A28" s="802"/>
      <c r="B28" s="422"/>
      <c r="C28" s="423" t="s">
        <v>123</v>
      </c>
      <c r="D28" s="424">
        <v>0</v>
      </c>
      <c r="E28" s="424"/>
      <c r="F28" s="424">
        <v>0</v>
      </c>
      <c r="G28" s="424"/>
      <c r="H28" s="424">
        <f>SUM(H26:H27)</f>
        <v>0</v>
      </c>
      <c r="I28" s="424"/>
      <c r="J28" s="424">
        <f>SUM(J26:J27)</f>
        <v>0</v>
      </c>
      <c r="K28" s="424">
        <f>SUM(K26:K27)</f>
        <v>0</v>
      </c>
      <c r="L28" s="424"/>
      <c r="M28" s="424">
        <f>SUM(M26:M27)</f>
        <v>0</v>
      </c>
      <c r="N28" s="425">
        <v>0</v>
      </c>
      <c r="O28" s="217"/>
      <c r="P28" s="217"/>
    </row>
    <row r="29" spans="1:16">
      <c r="A29" s="802"/>
      <c r="B29" s="285"/>
      <c r="C29" s="286" t="s">
        <v>124</v>
      </c>
      <c r="D29" s="214">
        <v>77653696</v>
      </c>
      <c r="E29" s="214"/>
      <c r="F29" s="214">
        <f t="shared" ref="F29:N29" si="5">F25</f>
        <v>80000000</v>
      </c>
      <c r="G29" s="214"/>
      <c r="H29" s="214">
        <f t="shared" si="5"/>
        <v>80000000</v>
      </c>
      <c r="I29" s="214"/>
      <c r="J29" s="209">
        <f>H29-F29</f>
        <v>0</v>
      </c>
      <c r="K29" s="214"/>
      <c r="L29" s="214"/>
      <c r="M29" s="214">
        <f t="shared" si="5"/>
        <v>80000000</v>
      </c>
      <c r="N29" s="214">
        <f t="shared" si="5"/>
        <v>0</v>
      </c>
      <c r="O29" s="217"/>
      <c r="P29" s="217"/>
    </row>
    <row r="30" spans="1:16">
      <c r="A30" s="802"/>
      <c r="B30" s="281"/>
      <c r="C30" s="282" t="s">
        <v>125</v>
      </c>
      <c r="D30" s="213">
        <f>D22+D25</f>
        <v>1656802891</v>
      </c>
      <c r="E30" s="213">
        <f>E22+E25</f>
        <v>100</v>
      </c>
      <c r="F30" s="213">
        <f>F22+F25</f>
        <v>1516200000</v>
      </c>
      <c r="G30" s="213">
        <f>G22+G25</f>
        <v>100</v>
      </c>
      <c r="H30" s="213">
        <f t="shared" ref="H30:M30" si="6">H22+H29</f>
        <v>1516200000</v>
      </c>
      <c r="I30" s="213">
        <f>I22+I25</f>
        <v>100</v>
      </c>
      <c r="J30" s="213">
        <f>H30-F30</f>
        <v>0</v>
      </c>
      <c r="K30" s="213">
        <f t="shared" si="6"/>
        <v>567801454</v>
      </c>
      <c r="L30" s="213">
        <f>L22+L25</f>
        <v>100</v>
      </c>
      <c r="M30" s="213">
        <f t="shared" si="6"/>
        <v>948398546</v>
      </c>
      <c r="N30" s="284">
        <f>K30/H30*100</f>
        <v>37.44898126896188</v>
      </c>
      <c r="O30" s="217"/>
      <c r="P30" s="217"/>
    </row>
    <row r="31" spans="1:16">
      <c r="A31" s="802"/>
      <c r="B31" s="285"/>
      <c r="C31" s="286" t="s">
        <v>126</v>
      </c>
      <c r="D31" s="214">
        <v>0</v>
      </c>
      <c r="E31" s="214"/>
      <c r="F31" s="214"/>
      <c r="G31" s="214"/>
      <c r="H31" s="214"/>
      <c r="I31" s="214"/>
      <c r="J31" s="214"/>
      <c r="K31" s="214">
        <v>0</v>
      </c>
      <c r="L31" s="214"/>
      <c r="M31" s="214"/>
      <c r="N31" s="287"/>
      <c r="O31" s="217"/>
      <c r="P31" s="217"/>
    </row>
    <row r="32" spans="1:16">
      <c r="A32" s="802"/>
      <c r="B32" s="285"/>
      <c r="C32" s="286" t="s">
        <v>127</v>
      </c>
      <c r="D32" s="214">
        <v>0</v>
      </c>
      <c r="E32" s="214"/>
      <c r="F32" s="214"/>
      <c r="G32" s="214"/>
      <c r="H32" s="214"/>
      <c r="I32" s="214"/>
      <c r="J32" s="214"/>
      <c r="K32" s="214">
        <v>0</v>
      </c>
      <c r="L32" s="214"/>
      <c r="M32" s="214"/>
      <c r="N32" s="287"/>
      <c r="O32" s="217"/>
      <c r="P32" s="217"/>
    </row>
    <row r="33" spans="1:18">
      <c r="A33" s="802"/>
      <c r="B33" s="591"/>
      <c r="C33" s="592" t="s">
        <v>128</v>
      </c>
      <c r="D33" s="617">
        <v>1656802891</v>
      </c>
      <c r="E33" s="617">
        <v>100</v>
      </c>
      <c r="F33" s="617">
        <v>1516200000</v>
      </c>
      <c r="G33" s="617">
        <v>100</v>
      </c>
      <c r="H33" s="617">
        <v>1516200000</v>
      </c>
      <c r="I33" s="617">
        <v>100</v>
      </c>
      <c r="J33" s="617">
        <v>0</v>
      </c>
      <c r="K33" s="617">
        <v>567801454</v>
      </c>
      <c r="L33" s="617">
        <v>100</v>
      </c>
      <c r="M33" s="617">
        <v>948398546</v>
      </c>
      <c r="N33" s="617">
        <v>37.44898126896188</v>
      </c>
      <c r="O33" s="1102"/>
      <c r="P33" s="1102"/>
      <c r="Q33" s="1102"/>
      <c r="R33" s="1102"/>
    </row>
    <row r="34" spans="1:18">
      <c r="A34" s="802"/>
      <c r="B34" s="1249" t="s">
        <v>129</v>
      </c>
      <c r="C34" s="1249"/>
      <c r="D34" s="618"/>
      <c r="E34" s="593"/>
      <c r="F34" s="593"/>
      <c r="G34" s="593"/>
      <c r="H34" s="593"/>
      <c r="I34" s="593"/>
      <c r="J34" s="593"/>
      <c r="K34" s="593"/>
      <c r="L34" s="593"/>
      <c r="M34" s="593"/>
      <c r="N34" s="593"/>
      <c r="O34" s="217"/>
      <c r="P34" s="217"/>
    </row>
  </sheetData>
  <mergeCells count="20">
    <mergeCell ref="B13:C13"/>
    <mergeCell ref="B34:C34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  <mergeCell ref="B2:N2"/>
    <mergeCell ref="B3:N3"/>
    <mergeCell ref="B4:N4"/>
    <mergeCell ref="A5:A6"/>
    <mergeCell ref="B6:B7"/>
    <mergeCell ref="C6:E7"/>
    <mergeCell ref="F6:G7"/>
    <mergeCell ref="H6:N7"/>
  </mergeCells>
  <pageMargins left="0.17" right="0.17" top="0.17" bottom="0.17" header="0.17" footer="0.17"/>
  <pageSetup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59999389629810485"/>
  </sheetPr>
  <dimension ref="A1:N32"/>
  <sheetViews>
    <sheetView zoomScale="120" zoomScaleNormal="120" workbookViewId="0">
      <pane xSplit="5" ySplit="1" topLeftCell="F2" activePane="bottomRight" state="frozen"/>
      <selection pane="topRight" activeCell="F1" sqref="F1"/>
      <selection pane="bottomLeft" activeCell="A13" sqref="A13"/>
      <selection pane="bottomRight" activeCell="B2" sqref="B2:N3"/>
    </sheetView>
  </sheetViews>
  <sheetFormatPr defaultRowHeight="15"/>
  <cols>
    <col min="1" max="1" width="3.42578125" style="34" hidden="1" customWidth="1"/>
    <col min="2" max="2" width="10.7109375" style="233" bestFit="1" customWidth="1"/>
    <col min="3" max="3" width="46.85546875" style="233" bestFit="1" customWidth="1"/>
    <col min="4" max="4" width="12.140625" style="233" hidden="1" customWidth="1"/>
    <col min="5" max="5" width="9.7109375" style="233" hidden="1" customWidth="1"/>
    <col min="6" max="6" width="12.85546875" style="233" hidden="1" customWidth="1"/>
    <col min="7" max="7" width="9.28515625" style="233" hidden="1" customWidth="1"/>
    <col min="8" max="8" width="13.140625" style="233" customWidth="1"/>
    <col min="9" max="9" width="10.5703125" style="233" bestFit="1" customWidth="1"/>
    <col min="10" max="10" width="16.140625" style="233" bestFit="1" customWidth="1"/>
    <col min="11" max="11" width="15.42578125" style="631" bestFit="1" customWidth="1"/>
    <col min="12" max="12" width="10.140625" style="233" bestFit="1" customWidth="1"/>
    <col min="13" max="13" width="14.42578125" style="233" customWidth="1"/>
    <col min="14" max="14" width="10.7109375" style="233" bestFit="1" customWidth="1"/>
    <col min="15" max="16384" width="9.140625" style="34"/>
  </cols>
  <sheetData>
    <row r="1" spans="1:14">
      <c r="A1" s="62"/>
      <c r="B1" s="325"/>
      <c r="C1" s="224"/>
      <c r="D1" s="224"/>
      <c r="E1" s="224"/>
      <c r="F1" s="224"/>
      <c r="G1" s="224"/>
      <c r="H1" s="224"/>
      <c r="I1" s="224"/>
      <c r="J1" s="224"/>
      <c r="K1" s="954"/>
      <c r="L1" s="224"/>
      <c r="M1" s="224"/>
      <c r="N1" s="224"/>
    </row>
    <row r="2" spans="1:14">
      <c r="A2" s="62"/>
      <c r="B2" s="1260" t="s">
        <v>112</v>
      </c>
      <c r="C2" s="1260"/>
      <c r="D2" s="1260"/>
      <c r="E2" s="1260"/>
      <c r="F2" s="1260"/>
      <c r="G2" s="1260"/>
      <c r="H2" s="1260"/>
      <c r="I2" s="1260"/>
      <c r="J2" s="1260"/>
      <c r="K2" s="1260"/>
      <c r="L2" s="1260"/>
      <c r="M2" s="1260"/>
      <c r="N2" s="1260"/>
    </row>
    <row r="3" spans="1:14">
      <c r="A3" s="62"/>
      <c r="B3" s="1261" t="s">
        <v>498</v>
      </c>
      <c r="C3" s="1261"/>
      <c r="D3" s="1261"/>
      <c r="E3" s="1261"/>
      <c r="F3" s="1261"/>
      <c r="G3" s="1261"/>
      <c r="H3" s="1261"/>
      <c r="I3" s="1261"/>
      <c r="J3" s="1261"/>
      <c r="K3" s="1261"/>
      <c r="L3" s="1261"/>
      <c r="M3" s="1261"/>
      <c r="N3" s="1261"/>
    </row>
    <row r="4" spans="1:14" ht="10.5" customHeight="1">
      <c r="A4" s="62"/>
      <c r="B4" s="1262" t="s">
        <v>1</v>
      </c>
      <c r="C4" s="1262"/>
      <c r="D4" s="1262"/>
      <c r="E4" s="1262"/>
      <c r="F4" s="1262"/>
      <c r="G4" s="1262"/>
      <c r="H4" s="1262"/>
      <c r="I4" s="1262"/>
      <c r="J4" s="1262"/>
      <c r="K4" s="1262"/>
      <c r="L4" s="1262"/>
      <c r="M4" s="1262"/>
      <c r="N4" s="1262"/>
    </row>
    <row r="5" spans="1:14" ht="6" customHeight="1" thickBot="1">
      <c r="A5" s="1281"/>
      <c r="B5" s="224"/>
      <c r="C5" s="224"/>
      <c r="D5" s="224"/>
      <c r="E5" s="224"/>
      <c r="F5" s="224"/>
      <c r="G5" s="224"/>
      <c r="H5" s="224"/>
      <c r="I5" s="224"/>
      <c r="J5" s="224"/>
      <c r="K5" s="954"/>
      <c r="L5" s="224"/>
      <c r="M5" s="224"/>
      <c r="N5" s="224"/>
    </row>
    <row r="6" spans="1:14">
      <c r="A6" s="1281"/>
      <c r="B6" s="1282" t="s">
        <v>113</v>
      </c>
      <c r="C6" s="1284" t="s">
        <v>160</v>
      </c>
      <c r="D6" s="1284"/>
      <c r="E6" s="1284"/>
      <c r="F6" s="1286" t="s">
        <v>3</v>
      </c>
      <c r="G6" s="1286"/>
      <c r="H6" s="1284" t="s">
        <v>179</v>
      </c>
      <c r="I6" s="1284"/>
      <c r="J6" s="1284"/>
      <c r="K6" s="1284"/>
      <c r="L6" s="1284"/>
      <c r="M6" s="1284"/>
      <c r="N6" s="1288"/>
    </row>
    <row r="7" spans="1:14">
      <c r="A7" s="62"/>
      <c r="B7" s="1283"/>
      <c r="C7" s="1285"/>
      <c r="D7" s="1285"/>
      <c r="E7" s="1285"/>
      <c r="F7" s="1287"/>
      <c r="G7" s="1287"/>
      <c r="H7" s="1285"/>
      <c r="I7" s="1285"/>
      <c r="J7" s="1285"/>
      <c r="K7" s="1285"/>
      <c r="L7" s="1285"/>
      <c r="M7" s="1285"/>
      <c r="N7" s="1289"/>
    </row>
    <row r="8" spans="1:14">
      <c r="A8" s="62"/>
      <c r="B8" s="326" t="s">
        <v>114</v>
      </c>
      <c r="C8" s="1263" t="s">
        <v>148</v>
      </c>
      <c r="D8" s="1263"/>
      <c r="E8" s="1263"/>
      <c r="F8" s="1264" t="s">
        <v>115</v>
      </c>
      <c r="G8" s="1264"/>
      <c r="H8" s="1263" t="s">
        <v>147</v>
      </c>
      <c r="I8" s="1263"/>
      <c r="J8" s="1263"/>
      <c r="K8" s="1263"/>
      <c r="L8" s="1263"/>
      <c r="M8" s="1263"/>
      <c r="N8" s="1265"/>
    </row>
    <row r="9" spans="1:14" ht="16.5" customHeight="1">
      <c r="A9" s="62"/>
      <c r="B9" s="1266" t="s">
        <v>4</v>
      </c>
      <c r="C9" s="1267"/>
      <c r="D9" s="1272" t="s">
        <v>116</v>
      </c>
      <c r="E9" s="1273"/>
      <c r="F9" s="1273"/>
      <c r="G9" s="1273"/>
      <c r="H9" s="1273"/>
      <c r="I9" s="1273"/>
      <c r="J9" s="1273"/>
      <c r="K9" s="1273"/>
      <c r="L9" s="1273"/>
      <c r="M9" s="1273"/>
      <c r="N9" s="1274"/>
    </row>
    <row r="10" spans="1:14" ht="16.5" customHeight="1">
      <c r="A10" s="62"/>
      <c r="B10" s="1268"/>
      <c r="C10" s="1269"/>
      <c r="D10" s="327" t="s">
        <v>117</v>
      </c>
      <c r="E10" s="328">
        <v>2025</v>
      </c>
      <c r="F10" s="1275" t="s">
        <v>6</v>
      </c>
      <c r="G10" s="1276"/>
      <c r="H10" s="1275" t="s">
        <v>6</v>
      </c>
      <c r="I10" s="1276"/>
      <c r="J10" s="352" t="s">
        <v>6</v>
      </c>
      <c r="K10" s="1275" t="s">
        <v>6</v>
      </c>
      <c r="L10" s="1276"/>
      <c r="M10" s="1277" t="s">
        <v>118</v>
      </c>
      <c r="N10" s="1279" t="s">
        <v>8</v>
      </c>
    </row>
    <row r="11" spans="1:14" ht="16.5" customHeight="1">
      <c r="A11" s="62"/>
      <c r="B11" s="1268"/>
      <c r="C11" s="1269"/>
      <c r="D11" s="329" t="s">
        <v>119</v>
      </c>
      <c r="E11" s="765" t="s">
        <v>10</v>
      </c>
      <c r="F11" s="330" t="s">
        <v>495</v>
      </c>
      <c r="G11" s="331" t="s">
        <v>10</v>
      </c>
      <c r="H11" s="330" t="s">
        <v>496</v>
      </c>
      <c r="I11" s="331" t="s">
        <v>10</v>
      </c>
      <c r="J11" s="332" t="s">
        <v>120</v>
      </c>
      <c r="K11" s="955" t="s">
        <v>12</v>
      </c>
      <c r="L11" s="331" t="s">
        <v>10</v>
      </c>
      <c r="M11" s="1278"/>
      <c r="N11" s="1280"/>
    </row>
    <row r="12" spans="1:14" ht="15.75" thickBot="1">
      <c r="A12" s="62"/>
      <c r="B12" s="1270"/>
      <c r="C12" s="1271"/>
      <c r="D12" s="333" t="s">
        <v>13</v>
      </c>
      <c r="E12" s="333" t="s">
        <v>14</v>
      </c>
      <c r="F12" s="333" t="s">
        <v>15</v>
      </c>
      <c r="G12" s="333" t="s">
        <v>16</v>
      </c>
      <c r="H12" s="333" t="s">
        <v>17</v>
      </c>
      <c r="I12" s="333" t="s">
        <v>18</v>
      </c>
      <c r="J12" s="333" t="s">
        <v>19</v>
      </c>
      <c r="K12" s="956" t="s">
        <v>20</v>
      </c>
      <c r="L12" s="333" t="s">
        <v>21</v>
      </c>
      <c r="M12" s="333" t="s">
        <v>22</v>
      </c>
      <c r="N12" s="334" t="s">
        <v>23</v>
      </c>
    </row>
    <row r="13" spans="1:14" ht="15.75" thickTop="1">
      <c r="A13" s="62"/>
      <c r="B13" s="1258" t="s">
        <v>32</v>
      </c>
      <c r="C13" s="1259"/>
      <c r="D13" s="335"/>
      <c r="E13" s="336"/>
      <c r="F13" s="335"/>
      <c r="G13" s="336"/>
      <c r="H13" s="335"/>
      <c r="I13" s="336"/>
      <c r="J13" s="337"/>
      <c r="K13" s="957"/>
      <c r="L13" s="336"/>
      <c r="M13" s="335"/>
      <c r="N13" s="338"/>
    </row>
    <row r="14" spans="1:14" ht="10.5" customHeight="1">
      <c r="A14" s="62"/>
      <c r="B14" s="339" t="s">
        <v>25</v>
      </c>
      <c r="C14" s="340" t="s">
        <v>26</v>
      </c>
      <c r="D14" s="335"/>
      <c r="E14" s="336"/>
      <c r="F14" s="335"/>
      <c r="G14" s="336"/>
      <c r="H14" s="335"/>
      <c r="I14" s="336"/>
      <c r="J14" s="341"/>
      <c r="K14" s="957"/>
      <c r="L14" s="336"/>
      <c r="M14" s="335"/>
      <c r="N14" s="338"/>
    </row>
    <row r="15" spans="1:14" ht="11.25" customHeight="1">
      <c r="A15" s="62"/>
      <c r="B15" s="342" t="s">
        <v>34</v>
      </c>
      <c r="C15" s="343" t="s">
        <v>35</v>
      </c>
      <c r="D15" s="958">
        <v>4851623432</v>
      </c>
      <c r="E15" s="344">
        <f>D15/D22*100</f>
        <v>52.990356638515969</v>
      </c>
      <c r="F15" s="345">
        <v>4974568000</v>
      </c>
      <c r="G15" s="344">
        <f>F15/F22*100</f>
        <v>51.124119175686353</v>
      </c>
      <c r="H15" s="345">
        <v>4974568000</v>
      </c>
      <c r="I15" s="344">
        <f>H15/H22*100</f>
        <v>51.124119175686353</v>
      </c>
      <c r="J15" s="345">
        <f>D15</f>
        <v>4851623432</v>
      </c>
      <c r="K15" s="958">
        <v>1756549523</v>
      </c>
      <c r="L15" s="344">
        <f>K15/K22*100</f>
        <v>54.354378112993487</v>
      </c>
      <c r="M15" s="345">
        <f>H15-K15</f>
        <v>3218018477</v>
      </c>
      <c r="N15" s="346">
        <f>K15/H15*100</f>
        <v>35.310594266678031</v>
      </c>
    </row>
    <row r="16" spans="1:14" ht="11.25" customHeight="1">
      <c r="A16" s="62"/>
      <c r="B16" s="342" t="s">
        <v>36</v>
      </c>
      <c r="C16" s="343" t="s">
        <v>37</v>
      </c>
      <c r="D16" s="958">
        <v>784786628</v>
      </c>
      <c r="E16" s="344">
        <f>D16/D22*100</f>
        <v>8.5715892599098904</v>
      </c>
      <c r="F16" s="345">
        <v>892730000</v>
      </c>
      <c r="G16" s="344">
        <f>F16/F22*100</f>
        <v>9.1746730392891376</v>
      </c>
      <c r="H16" s="345">
        <v>892730000</v>
      </c>
      <c r="I16" s="344">
        <f>H16/H22*100</f>
        <v>9.1746730392891376</v>
      </c>
      <c r="J16" s="345">
        <f t="shared" ref="J16:J21" si="0">D16</f>
        <v>784786628</v>
      </c>
      <c r="K16" s="958">
        <v>294310477</v>
      </c>
      <c r="L16" s="344">
        <f>K16/K22*100</f>
        <v>9.1070947559464113</v>
      </c>
      <c r="M16" s="345">
        <f t="shared" ref="M16:M26" si="1">H16-K16</f>
        <v>598419523</v>
      </c>
      <c r="N16" s="346">
        <f>K16/H16*100</f>
        <v>32.967467991441978</v>
      </c>
    </row>
    <row r="17" spans="1:14" ht="11.25" customHeight="1">
      <c r="A17" s="62"/>
      <c r="B17" s="342" t="s">
        <v>38</v>
      </c>
      <c r="C17" s="343" t="s">
        <v>39</v>
      </c>
      <c r="D17" s="958">
        <v>3456990350.04</v>
      </c>
      <c r="E17" s="344">
        <f>D17/D22*100</f>
        <v>37.757908071816679</v>
      </c>
      <c r="F17" s="345">
        <v>3823076000</v>
      </c>
      <c r="G17" s="344">
        <f>F17/F22*100</f>
        <v>39.290123894518345</v>
      </c>
      <c r="H17" s="345">
        <v>3823076000</v>
      </c>
      <c r="I17" s="344">
        <f>H17/H22*100</f>
        <v>39.290123894518345</v>
      </c>
      <c r="J17" s="345">
        <f t="shared" si="0"/>
        <v>3456990350.04</v>
      </c>
      <c r="K17" s="958">
        <v>1165695022</v>
      </c>
      <c r="L17" s="344">
        <f>K17/K22*100</f>
        <v>36.071074091898666</v>
      </c>
      <c r="M17" s="345">
        <f t="shared" si="1"/>
        <v>2657380978</v>
      </c>
      <c r="N17" s="346">
        <f>K17/H17*100</f>
        <v>30.491024034050067</v>
      </c>
    </row>
    <row r="18" spans="1:14" ht="11.25" customHeight="1">
      <c r="A18" s="62"/>
      <c r="B18" s="342" t="s">
        <v>40</v>
      </c>
      <c r="C18" s="343" t="s">
        <v>41</v>
      </c>
      <c r="D18" s="958"/>
      <c r="E18" s="344">
        <f>D18/D22*100</f>
        <v>0</v>
      </c>
      <c r="F18" s="345"/>
      <c r="G18" s="344">
        <f>F18/F22*100</f>
        <v>0</v>
      </c>
      <c r="H18" s="345"/>
      <c r="I18" s="344">
        <f>H18/H22*100</f>
        <v>0</v>
      </c>
      <c r="J18" s="345">
        <f t="shared" si="0"/>
        <v>0</v>
      </c>
      <c r="K18" s="958"/>
      <c r="L18" s="344">
        <f>K18/K22*100</f>
        <v>0</v>
      </c>
      <c r="M18" s="345">
        <f t="shared" si="1"/>
        <v>0</v>
      </c>
      <c r="N18" s="346"/>
    </row>
    <row r="19" spans="1:14" ht="11.25" customHeight="1">
      <c r="A19" s="62"/>
      <c r="B19" s="342" t="s">
        <v>42</v>
      </c>
      <c r="C19" s="343" t="s">
        <v>43</v>
      </c>
      <c r="D19" s="958"/>
      <c r="E19" s="344">
        <f>D19/D22*100</f>
        <v>0</v>
      </c>
      <c r="F19" s="345"/>
      <c r="G19" s="344">
        <f>F19/F22*100</f>
        <v>0</v>
      </c>
      <c r="H19" s="345"/>
      <c r="I19" s="344">
        <f>H19/H22*100</f>
        <v>0</v>
      </c>
      <c r="J19" s="345">
        <f t="shared" si="0"/>
        <v>0</v>
      </c>
      <c r="K19" s="958"/>
      <c r="L19" s="344">
        <f>K19/K22*100</f>
        <v>0</v>
      </c>
      <c r="M19" s="345">
        <f t="shared" si="1"/>
        <v>0</v>
      </c>
      <c r="N19" s="346"/>
    </row>
    <row r="20" spans="1:14">
      <c r="A20" s="62"/>
      <c r="B20" s="342" t="s">
        <v>44</v>
      </c>
      <c r="C20" s="343" t="s">
        <v>45</v>
      </c>
      <c r="D20" s="959"/>
      <c r="E20" s="347">
        <f>D20/D22*100</f>
        <v>0</v>
      </c>
      <c r="F20" s="348"/>
      <c r="G20" s="347">
        <f>F20/F22*100</f>
        <v>0</v>
      </c>
      <c r="H20" s="348"/>
      <c r="I20" s="347">
        <f>H20/H22*100</f>
        <v>0</v>
      </c>
      <c r="J20" s="345">
        <f t="shared" si="0"/>
        <v>0</v>
      </c>
      <c r="K20" s="959"/>
      <c r="L20" s="347">
        <f>K20/K22*100</f>
        <v>0</v>
      </c>
      <c r="M20" s="348">
        <f>H20-K20</f>
        <v>0</v>
      </c>
      <c r="N20" s="349"/>
    </row>
    <row r="21" spans="1:14">
      <c r="A21" s="62"/>
      <c r="B21" s="342" t="s">
        <v>46</v>
      </c>
      <c r="C21" s="343" t="s">
        <v>47</v>
      </c>
      <c r="D21" s="959">
        <v>62271942</v>
      </c>
      <c r="E21" s="347">
        <f>D21/D22*100</f>
        <v>0.68014602975744332</v>
      </c>
      <c r="F21" s="348">
        <v>40000000</v>
      </c>
      <c r="G21" s="347">
        <f>F21/F22*100</f>
        <v>0.41108389050616145</v>
      </c>
      <c r="H21" s="960">
        <v>40000000</v>
      </c>
      <c r="I21" s="347">
        <f>H21/H22*100</f>
        <v>0.41108389050616145</v>
      </c>
      <c r="J21" s="345">
        <f t="shared" si="0"/>
        <v>62271942</v>
      </c>
      <c r="K21" s="959">
        <v>15106500</v>
      </c>
      <c r="L21" s="347">
        <f>K21/K22*100</f>
        <v>0.46745303916144471</v>
      </c>
      <c r="M21" s="348">
        <f>H21-K21</f>
        <v>24893500</v>
      </c>
      <c r="N21" s="349">
        <f>K21/H21*100</f>
        <v>37.766249999999999</v>
      </c>
    </row>
    <row r="22" spans="1:14" ht="16.5" customHeight="1">
      <c r="A22" s="62"/>
      <c r="B22" s="281"/>
      <c r="C22" s="282" t="s">
        <v>121</v>
      </c>
      <c r="D22" s="213">
        <f>D15+D16+D17+D18+D19+D20+D21</f>
        <v>9155672352.0400009</v>
      </c>
      <c r="E22" s="283">
        <f>D22/D30*100</f>
        <v>52.675312884796909</v>
      </c>
      <c r="F22" s="213">
        <f>F15+F16+F17+F18+F19+F20+F21</f>
        <v>9730374000</v>
      </c>
      <c r="G22" s="283">
        <f>F22/F30*100</f>
        <v>30.996473800831385</v>
      </c>
      <c r="H22" s="213">
        <f>H15+H16+H17+H18+H19+H20+H21</f>
        <v>9730374000</v>
      </c>
      <c r="I22" s="283">
        <f>H22/H30*100</f>
        <v>30.996473800831385</v>
      </c>
      <c r="J22" s="213">
        <f>J15+J16+J17+J18+J19+J20+J21</f>
        <v>9155672352.0400009</v>
      </c>
      <c r="K22" s="213">
        <f>K15+K16+K17+K18+K19+K20+K21</f>
        <v>3231661522</v>
      </c>
      <c r="L22" s="283">
        <f>K22/K30*100</f>
        <v>45.993760230621092</v>
      </c>
      <c r="M22" s="213">
        <f>M15+M16+M17+M18+M19+M20+M21</f>
        <v>6498712478</v>
      </c>
      <c r="N22" s="284">
        <f>K22/H22*100</f>
        <v>33.212099781570572</v>
      </c>
    </row>
    <row r="23" spans="1:14">
      <c r="A23" s="62"/>
      <c r="B23" s="210" t="s">
        <v>49</v>
      </c>
      <c r="C23" s="211" t="s">
        <v>50</v>
      </c>
      <c r="D23" s="209">
        <v>0</v>
      </c>
      <c r="E23" s="212">
        <f>D23/D25*100</f>
        <v>0</v>
      </c>
      <c r="F23" s="209">
        <v>0</v>
      </c>
      <c r="G23" s="212">
        <f>F23/F25*100</f>
        <v>0</v>
      </c>
      <c r="H23" s="209">
        <v>0</v>
      </c>
      <c r="I23" s="212">
        <f>H23/H25*100</f>
        <v>0</v>
      </c>
      <c r="J23" s="209">
        <f>I23/I25*100</f>
        <v>0</v>
      </c>
      <c r="K23" s="209">
        <v>0</v>
      </c>
      <c r="L23" s="212">
        <f>K23/K25*100</f>
        <v>0</v>
      </c>
      <c r="M23" s="209">
        <f t="shared" si="1"/>
        <v>0</v>
      </c>
      <c r="N23" s="212"/>
    </row>
    <row r="24" spans="1:14">
      <c r="A24" s="62"/>
      <c r="B24" s="210" t="s">
        <v>51</v>
      </c>
      <c r="C24" s="211" t="s">
        <v>52</v>
      </c>
      <c r="D24" s="209">
        <v>8225662187.0900002</v>
      </c>
      <c r="E24" s="212">
        <f>D24/D25*100</f>
        <v>100</v>
      </c>
      <c r="F24" s="209">
        <v>10661500000</v>
      </c>
      <c r="G24" s="212"/>
      <c r="H24" s="209">
        <v>10661500000</v>
      </c>
      <c r="I24" s="212">
        <f>H24/H25*100</f>
        <v>100</v>
      </c>
      <c r="J24" s="209">
        <f>D24</f>
        <v>8225662187.0900002</v>
      </c>
      <c r="K24" s="214">
        <v>3794642711</v>
      </c>
      <c r="L24" s="212">
        <f>K24/K25*100</f>
        <v>100</v>
      </c>
      <c r="M24" s="209">
        <f>H24-K24</f>
        <v>6866857289</v>
      </c>
      <c r="N24" s="212">
        <f>K24/H24*100</f>
        <v>35.592015298034987</v>
      </c>
    </row>
    <row r="25" spans="1:14">
      <c r="A25" s="62"/>
      <c r="B25" s="281"/>
      <c r="C25" s="282" t="s">
        <v>122</v>
      </c>
      <c r="D25" s="213">
        <f>D23+D24</f>
        <v>8225662187.0900002</v>
      </c>
      <c r="E25" s="213">
        <f>D25/D30*100</f>
        <v>47.324687115203091</v>
      </c>
      <c r="F25" s="213">
        <f>F23+F24</f>
        <v>10661500000</v>
      </c>
      <c r="G25" s="213">
        <f>F25/F30*100</f>
        <v>33.962610833618918</v>
      </c>
      <c r="H25" s="213">
        <f>H23+H24</f>
        <v>10661500000</v>
      </c>
      <c r="I25" s="213">
        <f>H25/H30*100</f>
        <v>33.962610833618918</v>
      </c>
      <c r="J25" s="213">
        <f>J23+J24</f>
        <v>8225662187.0900002</v>
      </c>
      <c r="K25" s="213">
        <f>K23+K24</f>
        <v>3794642711</v>
      </c>
      <c r="L25" s="213">
        <f>K25/K30*100</f>
        <v>54.006239769378915</v>
      </c>
      <c r="M25" s="213">
        <f>M23+M24</f>
        <v>6866857289</v>
      </c>
      <c r="N25" s="284">
        <f>K25/H25*100</f>
        <v>35.592015298034987</v>
      </c>
    </row>
    <row r="26" spans="1:14">
      <c r="A26" s="62"/>
      <c r="B26" s="210" t="s">
        <v>49</v>
      </c>
      <c r="C26" s="211" t="s">
        <v>50</v>
      </c>
      <c r="D26" s="209">
        <v>0</v>
      </c>
      <c r="E26" s="209">
        <f>D26/D29*100</f>
        <v>0</v>
      </c>
      <c r="F26" s="209">
        <v>0</v>
      </c>
      <c r="G26" s="209">
        <f>F26/F29*100</f>
        <v>0</v>
      </c>
      <c r="H26" s="209">
        <v>0</v>
      </c>
      <c r="I26" s="209">
        <f>H26/H29*100</f>
        <v>0</v>
      </c>
      <c r="J26" s="209">
        <f>H26-F26</f>
        <v>0</v>
      </c>
      <c r="K26" s="209">
        <v>0</v>
      </c>
      <c r="L26" s="209">
        <f>K26/K29*100</f>
        <v>0</v>
      </c>
      <c r="M26" s="209">
        <f t="shared" si="1"/>
        <v>0</v>
      </c>
      <c r="N26" s="216" t="e">
        <f>K26/H26*100</f>
        <v>#DIV/0!</v>
      </c>
    </row>
    <row r="27" spans="1:14">
      <c r="A27" s="62"/>
      <c r="B27" s="210" t="s">
        <v>51</v>
      </c>
      <c r="C27" s="211" t="s">
        <v>52</v>
      </c>
      <c r="D27" s="209"/>
      <c r="E27" s="209">
        <f>D27/D30*100</f>
        <v>0</v>
      </c>
      <c r="F27" s="961">
        <v>11000000000</v>
      </c>
      <c r="G27" s="209"/>
      <c r="H27" s="961">
        <v>11000000000</v>
      </c>
      <c r="I27" s="209">
        <f>H27/H30*100</f>
        <v>35.040915365549694</v>
      </c>
      <c r="J27" s="209">
        <f>H27-F27</f>
        <v>0</v>
      </c>
      <c r="K27" s="209">
        <v>0</v>
      </c>
      <c r="L27" s="209">
        <f>K27/K30*100</f>
        <v>0</v>
      </c>
      <c r="M27" s="209">
        <f>H27-K27</f>
        <v>11000000000</v>
      </c>
      <c r="N27" s="216">
        <f>K27/H27*100</f>
        <v>0</v>
      </c>
    </row>
    <row r="28" spans="1:14">
      <c r="A28" s="62"/>
      <c r="B28" s="422"/>
      <c r="C28" s="423" t="s">
        <v>123</v>
      </c>
      <c r="D28" s="424">
        <f>D26+D27</f>
        <v>0</v>
      </c>
      <c r="E28" s="424">
        <f>D28/D30*100</f>
        <v>0</v>
      </c>
      <c r="F28" s="424">
        <f t="shared" ref="F28:M28" si="2">F26+F27</f>
        <v>11000000000</v>
      </c>
      <c r="G28" s="424">
        <f>F28/F30*100</f>
        <v>35.040915365549694</v>
      </c>
      <c r="H28" s="424">
        <f t="shared" si="2"/>
        <v>11000000000</v>
      </c>
      <c r="I28" s="424">
        <f>H28/H30*100</f>
        <v>35.040915365549694</v>
      </c>
      <c r="J28" s="424">
        <f t="shared" si="2"/>
        <v>0</v>
      </c>
      <c r="K28" s="424">
        <f>K26+K27</f>
        <v>0</v>
      </c>
      <c r="L28" s="424">
        <f>K28/K30*100</f>
        <v>0</v>
      </c>
      <c r="M28" s="424">
        <f t="shared" si="2"/>
        <v>11000000000</v>
      </c>
      <c r="N28" s="425"/>
    </row>
    <row r="29" spans="1:14">
      <c r="A29" s="62"/>
      <c r="B29" s="285"/>
      <c r="C29" s="286" t="s">
        <v>124</v>
      </c>
      <c r="D29" s="214">
        <f>D25+D28</f>
        <v>8225662187.0900002</v>
      </c>
      <c r="E29" s="214">
        <f>D29/D30*100</f>
        <v>47.324687115203091</v>
      </c>
      <c r="F29" s="214">
        <f>F25+F28</f>
        <v>21661500000</v>
      </c>
      <c r="G29" s="214">
        <f>F29/F30*100</f>
        <v>69.003526199168604</v>
      </c>
      <c r="H29" s="214">
        <f>H25+H28</f>
        <v>21661500000</v>
      </c>
      <c r="I29" s="214">
        <f>H29/H30*100</f>
        <v>69.003526199168604</v>
      </c>
      <c r="J29" s="209">
        <f>J25+J28</f>
        <v>8225662187.0900002</v>
      </c>
      <c r="K29" s="214">
        <f>K25+K28</f>
        <v>3794642711</v>
      </c>
      <c r="L29" s="214">
        <f>K29/K30*100</f>
        <v>54.006239769378915</v>
      </c>
      <c r="M29" s="214">
        <f>M25+M28</f>
        <v>17866857289</v>
      </c>
      <c r="N29" s="214">
        <f>K29/H29*100</f>
        <v>17.517912937700526</v>
      </c>
    </row>
    <row r="30" spans="1:14">
      <c r="A30" s="62"/>
      <c r="B30" s="281"/>
      <c r="C30" s="282" t="s">
        <v>125</v>
      </c>
      <c r="D30" s="213">
        <f>D22+D29</f>
        <v>17381334539.130001</v>
      </c>
      <c r="E30" s="213">
        <f>E22+E25</f>
        <v>100</v>
      </c>
      <c r="F30" s="213">
        <f>F22+F29</f>
        <v>31391874000</v>
      </c>
      <c r="G30" s="213">
        <f>G22+G25+G28</f>
        <v>100</v>
      </c>
      <c r="H30" s="213">
        <v>31391874000</v>
      </c>
      <c r="I30" s="213">
        <v>64.959084634450306</v>
      </c>
      <c r="J30" s="213">
        <v>17381334539.130001</v>
      </c>
      <c r="K30" s="213">
        <v>7026304233</v>
      </c>
      <c r="L30" s="213">
        <v>100</v>
      </c>
      <c r="M30" s="213">
        <v>24365569767</v>
      </c>
      <c r="N30" s="284">
        <v>22.382557451014236</v>
      </c>
    </row>
    <row r="31" spans="1:14" ht="8.25" customHeight="1"/>
    <row r="32" spans="1:14" ht="19.5" customHeight="1"/>
  </sheetData>
  <mergeCells count="19">
    <mergeCell ref="A5:A6"/>
    <mergeCell ref="B6:B7"/>
    <mergeCell ref="C6:E7"/>
    <mergeCell ref="F6:G7"/>
    <mergeCell ref="H6:N7"/>
    <mergeCell ref="B13:C13"/>
    <mergeCell ref="B2:N2"/>
    <mergeCell ref="B3:N3"/>
    <mergeCell ref="B4:N4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59999389629810485"/>
  </sheetPr>
  <dimension ref="A1:Z54"/>
  <sheetViews>
    <sheetView zoomScale="140" zoomScaleNormal="140" workbookViewId="0">
      <pane xSplit="5" ySplit="12" topLeftCell="F13" activePane="bottomRight" state="frozen"/>
      <selection pane="topRight" activeCell="F1" sqref="F1"/>
      <selection pane="bottomLeft" activeCell="A13" sqref="A13"/>
      <selection pane="bottomRight" activeCell="F23" sqref="F23"/>
    </sheetView>
  </sheetViews>
  <sheetFormatPr defaultRowHeight="11.25"/>
  <cols>
    <col min="1" max="1" width="0.85546875" style="31" customWidth="1"/>
    <col min="2" max="2" width="10.85546875" style="178" customWidth="1"/>
    <col min="3" max="3" width="43.42578125" style="178" customWidth="1"/>
    <col min="4" max="4" width="13.85546875" style="178" customWidth="1"/>
    <col min="5" max="5" width="6" style="178" customWidth="1"/>
    <col min="6" max="6" width="16.5703125" style="178" bestFit="1" customWidth="1"/>
    <col min="7" max="7" width="5.5703125" style="178" customWidth="1"/>
    <col min="8" max="8" width="14" style="178" customWidth="1"/>
    <col min="9" max="9" width="5.42578125" style="178" customWidth="1"/>
    <col min="10" max="10" width="14.7109375" style="178" customWidth="1"/>
    <col min="11" max="11" width="16.5703125" style="178" bestFit="1" customWidth="1"/>
    <col min="12" max="12" width="5.28515625" style="178" customWidth="1"/>
    <col min="13" max="13" width="11.28515625" style="178" customWidth="1"/>
    <col min="14" max="14" width="10.140625" style="178" customWidth="1"/>
    <col min="15" max="26" width="9.140625" style="178"/>
    <col min="27" max="16384" width="9.140625" style="31"/>
  </cols>
  <sheetData>
    <row r="1" spans="1:14">
      <c r="A1" s="43"/>
      <c r="B1" s="179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4">
      <c r="A2" s="43"/>
      <c r="B2" s="1310" t="s">
        <v>112</v>
      </c>
      <c r="C2" s="1310"/>
      <c r="D2" s="1310"/>
      <c r="E2" s="1310"/>
      <c r="F2" s="1310"/>
      <c r="G2" s="1310"/>
      <c r="H2" s="1310"/>
      <c r="I2" s="1310"/>
      <c r="J2" s="1310"/>
      <c r="K2" s="1310"/>
      <c r="L2" s="1310"/>
      <c r="M2" s="1310"/>
      <c r="N2" s="1310"/>
    </row>
    <row r="3" spans="1:14">
      <c r="A3" s="43"/>
      <c r="B3" s="1311" t="s">
        <v>159</v>
      </c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</row>
    <row r="4" spans="1:14">
      <c r="A4" s="43"/>
      <c r="B4" s="1312" t="s">
        <v>1</v>
      </c>
      <c r="C4" s="1312"/>
      <c r="D4" s="1312"/>
      <c r="E4" s="1312"/>
      <c r="F4" s="1312"/>
      <c r="G4" s="1312"/>
      <c r="H4" s="1312"/>
      <c r="I4" s="1312"/>
      <c r="J4" s="1312"/>
      <c r="K4" s="1312"/>
      <c r="L4" s="1312"/>
      <c r="M4" s="1312"/>
      <c r="N4" s="1312"/>
    </row>
    <row r="5" spans="1:14" ht="12" thickBot="1">
      <c r="A5" s="130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1:14" ht="12.75" thickTop="1" thickBot="1">
      <c r="A6" s="1301"/>
      <c r="B6" s="1313" t="s">
        <v>113</v>
      </c>
      <c r="C6" s="1314" t="s">
        <v>160</v>
      </c>
      <c r="D6" s="1314"/>
      <c r="E6" s="1314"/>
      <c r="F6" s="1315" t="s">
        <v>3</v>
      </c>
      <c r="G6" s="1315"/>
      <c r="H6" s="1316">
        <v>17</v>
      </c>
      <c r="I6" s="1316"/>
      <c r="J6" s="1316"/>
      <c r="K6" s="1316"/>
      <c r="L6" s="1316"/>
      <c r="M6" s="1316"/>
      <c r="N6" s="1316"/>
    </row>
    <row r="7" spans="1:14" ht="12" thickTop="1">
      <c r="A7" s="43"/>
      <c r="B7" s="1313"/>
      <c r="C7" s="1314"/>
      <c r="D7" s="1314"/>
      <c r="E7" s="1314"/>
      <c r="F7" s="1315"/>
      <c r="G7" s="1315"/>
      <c r="H7" s="1316"/>
      <c r="I7" s="1316"/>
      <c r="J7" s="1316"/>
      <c r="K7" s="1316"/>
      <c r="L7" s="1316"/>
      <c r="M7" s="1316"/>
      <c r="N7" s="1316"/>
    </row>
    <row r="8" spans="1:14">
      <c r="A8" s="43"/>
      <c r="B8" s="181" t="s">
        <v>114</v>
      </c>
      <c r="C8" s="1302" t="s">
        <v>320</v>
      </c>
      <c r="D8" s="1302"/>
      <c r="E8" s="1302"/>
      <c r="F8" s="1303" t="s">
        <v>115</v>
      </c>
      <c r="G8" s="1303"/>
      <c r="H8" s="1304">
        <v>2120</v>
      </c>
      <c r="I8" s="1304"/>
      <c r="J8" s="1304"/>
      <c r="K8" s="1304"/>
      <c r="L8" s="1304"/>
      <c r="M8" s="1304"/>
      <c r="N8" s="1304"/>
    </row>
    <row r="9" spans="1:14" ht="12" thickBot="1">
      <c r="A9" s="43"/>
      <c r="B9" s="1305" t="s">
        <v>4</v>
      </c>
      <c r="C9" s="1305"/>
      <c r="D9" s="1306" t="s">
        <v>116</v>
      </c>
      <c r="E9" s="1306"/>
      <c r="F9" s="1306"/>
      <c r="G9" s="1306"/>
      <c r="H9" s="1306"/>
      <c r="I9" s="1306"/>
      <c r="J9" s="1306"/>
      <c r="K9" s="1306"/>
      <c r="L9" s="1306"/>
      <c r="M9" s="1306"/>
      <c r="N9" s="1306"/>
    </row>
    <row r="10" spans="1:14" ht="28.5" customHeight="1" thickTop="1" thickBot="1">
      <c r="A10" s="43"/>
      <c r="B10" s="1305"/>
      <c r="C10" s="1305"/>
      <c r="D10" s="19" t="s">
        <v>117</v>
      </c>
      <c r="E10" s="20">
        <v>2024</v>
      </c>
      <c r="F10" s="1307" t="s">
        <v>6</v>
      </c>
      <c r="G10" s="1307"/>
      <c r="H10" s="1307" t="s">
        <v>6</v>
      </c>
      <c r="I10" s="1307"/>
      <c r="J10" s="160" t="s">
        <v>6</v>
      </c>
      <c r="K10" s="1307" t="s">
        <v>6</v>
      </c>
      <c r="L10" s="1307"/>
      <c r="M10" s="1309" t="s">
        <v>118</v>
      </c>
      <c r="N10" s="1308" t="s">
        <v>8</v>
      </c>
    </row>
    <row r="11" spans="1:14" ht="55.5" thickTop="1" thickBot="1">
      <c r="A11" s="43"/>
      <c r="B11" s="1305"/>
      <c r="C11" s="1305"/>
      <c r="D11" s="3" t="s">
        <v>119</v>
      </c>
      <c r="E11" s="4" t="s">
        <v>10</v>
      </c>
      <c r="F11" s="5" t="s">
        <v>145</v>
      </c>
      <c r="G11" s="6" t="s">
        <v>10</v>
      </c>
      <c r="H11" s="5" t="s">
        <v>146</v>
      </c>
      <c r="I11" s="6" t="s">
        <v>10</v>
      </c>
      <c r="J11" s="7" t="s">
        <v>120</v>
      </c>
      <c r="K11" s="5" t="s">
        <v>12</v>
      </c>
      <c r="L11" s="6" t="s">
        <v>10</v>
      </c>
      <c r="M11" s="1309"/>
      <c r="N11" s="1308"/>
    </row>
    <row r="12" spans="1:14" ht="12.75" thickTop="1" thickBot="1">
      <c r="A12" s="43"/>
      <c r="B12" s="1305"/>
      <c r="C12" s="1305"/>
      <c r="D12" s="8" t="s">
        <v>13</v>
      </c>
      <c r="E12" s="8" t="s">
        <v>14</v>
      </c>
      <c r="F12" s="8" t="s">
        <v>15</v>
      </c>
      <c r="G12" s="8" t="s">
        <v>16</v>
      </c>
      <c r="H12" s="8" t="s">
        <v>17</v>
      </c>
      <c r="I12" s="8" t="s">
        <v>18</v>
      </c>
      <c r="J12" s="8" t="s">
        <v>19</v>
      </c>
      <c r="K12" s="8" t="s">
        <v>20</v>
      </c>
      <c r="L12" s="8" t="s">
        <v>21</v>
      </c>
      <c r="M12" s="8" t="s">
        <v>22</v>
      </c>
      <c r="N12" s="9" t="s">
        <v>23</v>
      </c>
    </row>
    <row r="13" spans="1:14" ht="12" thickTop="1">
      <c r="A13" s="43"/>
      <c r="B13" s="1291" t="s">
        <v>32</v>
      </c>
      <c r="C13" s="1291"/>
      <c r="D13" s="172"/>
      <c r="E13" s="32"/>
      <c r="F13" s="172"/>
      <c r="G13" s="32"/>
      <c r="H13" s="172"/>
      <c r="I13" s="32"/>
      <c r="J13" s="173"/>
      <c r="K13" s="172"/>
      <c r="L13" s="32"/>
      <c r="M13" s="172"/>
      <c r="N13" s="182"/>
    </row>
    <row r="14" spans="1:14">
      <c r="A14" s="43"/>
      <c r="B14" s="183" t="s">
        <v>25</v>
      </c>
      <c r="C14" s="174" t="s">
        <v>26</v>
      </c>
      <c r="D14" s="172"/>
      <c r="E14" s="32"/>
      <c r="F14" s="172"/>
      <c r="G14" s="32"/>
      <c r="H14" s="172"/>
      <c r="I14" s="32"/>
      <c r="J14" s="175"/>
      <c r="K14" s="172"/>
      <c r="L14" s="32"/>
      <c r="M14" s="172"/>
      <c r="N14" s="182"/>
    </row>
    <row r="15" spans="1:14">
      <c r="A15" s="43"/>
      <c r="B15" s="159" t="s">
        <v>34</v>
      </c>
      <c r="C15" s="21" t="s">
        <v>35</v>
      </c>
      <c r="D15" s="10">
        <v>3055112840</v>
      </c>
      <c r="E15" s="36">
        <f>D15/D22*100</f>
        <v>49.846843496686368</v>
      </c>
      <c r="F15" s="11">
        <v>3188700000</v>
      </c>
      <c r="G15" s="36">
        <f>F15/F22*100</f>
        <v>47.205480555256187</v>
      </c>
      <c r="H15" s="11">
        <v>3655358127</v>
      </c>
      <c r="I15" s="36">
        <f>H15/H22*100</f>
        <v>47.717768067311781</v>
      </c>
      <c r="J15" s="11">
        <f>H15-F15</f>
        <v>466658127</v>
      </c>
      <c r="K15" s="11">
        <v>3643746554</v>
      </c>
      <c r="L15" s="36">
        <f>K15/K22*100</f>
        <v>48.200526644683968</v>
      </c>
      <c r="M15" s="11">
        <f>H15-K15</f>
        <v>11611573</v>
      </c>
      <c r="N15" s="37">
        <f>K15/H15*100</f>
        <v>99.682341029344514</v>
      </c>
    </row>
    <row r="16" spans="1:14">
      <c r="A16" s="43"/>
      <c r="B16" s="159" t="s">
        <v>36</v>
      </c>
      <c r="C16" s="21" t="s">
        <v>37</v>
      </c>
      <c r="D16" s="10">
        <v>528272232</v>
      </c>
      <c r="E16" s="36">
        <f>D16/D22*100</f>
        <v>8.6192244447996202</v>
      </c>
      <c r="F16" s="11">
        <v>514300000</v>
      </c>
      <c r="G16" s="36">
        <f>F16/F22*100</f>
        <v>7.6136916767235094</v>
      </c>
      <c r="H16" s="11">
        <v>605980000</v>
      </c>
      <c r="I16" s="36">
        <f>H16/H22*100</f>
        <v>7.9105827907377551</v>
      </c>
      <c r="J16" s="11">
        <f t="shared" ref="J16:J21" si="0">H16-F16</f>
        <v>91680000</v>
      </c>
      <c r="K16" s="11">
        <v>600774044</v>
      </c>
      <c r="L16" s="36">
        <f>K16/K22*100</f>
        <v>7.94721171906638</v>
      </c>
      <c r="M16" s="11">
        <f t="shared" ref="M16:M27" si="1">H16-K16</f>
        <v>5205956</v>
      </c>
      <c r="N16" s="37">
        <f t="shared" ref="N16:N21" si="2">K16/H16*100</f>
        <v>99.140903000099016</v>
      </c>
    </row>
    <row r="17" spans="1:14">
      <c r="A17" s="43"/>
      <c r="B17" s="159" t="s">
        <v>38</v>
      </c>
      <c r="C17" s="21" t="s">
        <v>39</v>
      </c>
      <c r="D17" s="10">
        <v>1957084982.45</v>
      </c>
      <c r="E17" s="36">
        <f>D17/D22*100</f>
        <v>31.931556685120782</v>
      </c>
      <c r="F17" s="11">
        <v>2750686000</v>
      </c>
      <c r="G17" s="36">
        <f>F17/F22*100</f>
        <v>40.721126003266349</v>
      </c>
      <c r="H17" s="11">
        <v>3110504000</v>
      </c>
      <c r="I17" s="36">
        <f>H17/H22*100</f>
        <v>40.605134514209958</v>
      </c>
      <c r="J17" s="11">
        <f t="shared" si="0"/>
        <v>359818000</v>
      </c>
      <c r="K17" s="11">
        <v>3041395813</v>
      </c>
      <c r="L17" s="36">
        <f>K17/K22*100</f>
        <v>40.232457924552115</v>
      </c>
      <c r="M17" s="11">
        <f t="shared" si="1"/>
        <v>69108187</v>
      </c>
      <c r="N17" s="37">
        <f t="shared" si="2"/>
        <v>97.778231855673553</v>
      </c>
    </row>
    <row r="18" spans="1:14">
      <c r="A18" s="43"/>
      <c r="B18" s="159" t="s">
        <v>40</v>
      </c>
      <c r="C18" s="21" t="s">
        <v>41</v>
      </c>
      <c r="D18" s="10">
        <v>0</v>
      </c>
      <c r="E18" s="38">
        <f>D18/D22*100</f>
        <v>0</v>
      </c>
      <c r="F18" s="11">
        <v>0</v>
      </c>
      <c r="G18" s="38">
        <f>F18/F22*100</f>
        <v>0</v>
      </c>
      <c r="H18" s="11">
        <v>0</v>
      </c>
      <c r="I18" s="38">
        <f>H18/H22*100</f>
        <v>0</v>
      </c>
      <c r="J18" s="11">
        <f t="shared" si="0"/>
        <v>0</v>
      </c>
      <c r="K18" s="10"/>
      <c r="L18" s="38">
        <f>K18/K22*100</f>
        <v>0</v>
      </c>
      <c r="M18" s="11">
        <f t="shared" si="1"/>
        <v>0</v>
      </c>
      <c r="N18" s="39">
        <v>0</v>
      </c>
    </row>
    <row r="19" spans="1:14">
      <c r="A19" s="43"/>
      <c r="B19" s="159" t="s">
        <v>42</v>
      </c>
      <c r="C19" s="21" t="s">
        <v>43</v>
      </c>
      <c r="D19" s="10">
        <v>289176971</v>
      </c>
      <c r="E19" s="38">
        <f>D19/D22*100</f>
        <v>4.718175717621877</v>
      </c>
      <c r="F19" s="11">
        <v>0</v>
      </c>
      <c r="G19" s="38">
        <f>F19/F22*100</f>
        <v>0</v>
      </c>
      <c r="H19" s="11">
        <v>0</v>
      </c>
      <c r="I19" s="38">
        <f>H19/H22*100</f>
        <v>0</v>
      </c>
      <c r="J19" s="11">
        <f t="shared" si="0"/>
        <v>0</v>
      </c>
      <c r="K19" s="10"/>
      <c r="L19" s="38">
        <f>K19/K22*100</f>
        <v>0</v>
      </c>
      <c r="M19" s="11">
        <f t="shared" si="1"/>
        <v>0</v>
      </c>
      <c r="N19" s="39">
        <v>0</v>
      </c>
    </row>
    <row r="20" spans="1:14">
      <c r="A20" s="43"/>
      <c r="B20" s="159" t="s">
        <v>44</v>
      </c>
      <c r="C20" s="21" t="s">
        <v>45</v>
      </c>
      <c r="D20" s="10">
        <v>0</v>
      </c>
      <c r="E20" s="36">
        <f>D20/D22*100</f>
        <v>0</v>
      </c>
      <c r="F20" s="11">
        <v>0</v>
      </c>
      <c r="G20" s="36">
        <f>F20/F22*100</f>
        <v>0</v>
      </c>
      <c r="H20" s="11">
        <v>0</v>
      </c>
      <c r="I20" s="36">
        <f>H20/H22*100</f>
        <v>0</v>
      </c>
      <c r="J20" s="11">
        <f t="shared" si="0"/>
        <v>0</v>
      </c>
      <c r="K20" s="10">
        <v>0</v>
      </c>
      <c r="L20" s="36">
        <f>K20/K22*100</f>
        <v>0</v>
      </c>
      <c r="M20" s="11">
        <f t="shared" si="1"/>
        <v>0</v>
      </c>
      <c r="N20" s="37" t="e">
        <f t="shared" si="2"/>
        <v>#DIV/0!</v>
      </c>
    </row>
    <row r="21" spans="1:14">
      <c r="A21" s="43"/>
      <c r="B21" s="159" t="s">
        <v>46</v>
      </c>
      <c r="C21" s="21" t="s">
        <v>47</v>
      </c>
      <c r="D21" s="10">
        <v>299352577.50999999</v>
      </c>
      <c r="E21" s="36">
        <f>D21/D22*100</f>
        <v>4.8841996557713543</v>
      </c>
      <c r="F21" s="11">
        <v>301250000</v>
      </c>
      <c r="G21" s="36">
        <f>F21/F22*100</f>
        <v>4.4597017647539516</v>
      </c>
      <c r="H21" s="11">
        <v>288528999</v>
      </c>
      <c r="I21" s="36">
        <f>H21/H22*100</f>
        <v>3.7665146277405048</v>
      </c>
      <c r="J21" s="11">
        <f t="shared" si="0"/>
        <v>-12721001</v>
      </c>
      <c r="K21" s="10">
        <v>273641145</v>
      </c>
      <c r="L21" s="36">
        <f>K21/K22*100</f>
        <v>3.6198037116975419</v>
      </c>
      <c r="M21" s="11">
        <f t="shared" si="1"/>
        <v>14887854</v>
      </c>
      <c r="N21" s="37">
        <f t="shared" si="2"/>
        <v>94.840083994468785</v>
      </c>
    </row>
    <row r="22" spans="1:14">
      <c r="A22" s="43"/>
      <c r="B22" s="22"/>
      <c r="C22" s="23" t="s">
        <v>121</v>
      </c>
      <c r="D22" s="29">
        <f t="shared" ref="D22:M22" si="3">SUM(D15:D21)</f>
        <v>6128999602.96</v>
      </c>
      <c r="E22" s="12">
        <f t="shared" si="3"/>
        <v>100</v>
      </c>
      <c r="F22" s="29">
        <f t="shared" si="3"/>
        <v>6754936000</v>
      </c>
      <c r="G22" s="12">
        <f t="shared" si="3"/>
        <v>100</v>
      </c>
      <c r="H22" s="29">
        <f t="shared" si="3"/>
        <v>7660371126</v>
      </c>
      <c r="I22" s="12">
        <f t="shared" si="3"/>
        <v>100</v>
      </c>
      <c r="J22" s="13">
        <f t="shared" si="3"/>
        <v>905435126</v>
      </c>
      <c r="K22" s="29">
        <f t="shared" si="3"/>
        <v>7559557556</v>
      </c>
      <c r="L22" s="12">
        <f t="shared" si="3"/>
        <v>100.00000000000001</v>
      </c>
      <c r="M22" s="29">
        <f t="shared" si="3"/>
        <v>100813570</v>
      </c>
      <c r="N22" s="1">
        <f>K22/H22*100</f>
        <v>98.68395971498262</v>
      </c>
    </row>
    <row r="23" spans="1:14">
      <c r="A23" s="43"/>
      <c r="B23" s="159" t="s">
        <v>49</v>
      </c>
      <c r="C23" s="21" t="s">
        <v>50</v>
      </c>
      <c r="D23" s="184">
        <v>48599047</v>
      </c>
      <c r="E23" s="11">
        <v>0</v>
      </c>
      <c r="F23" s="185">
        <v>12204000</v>
      </c>
      <c r="G23" s="11">
        <v>0</v>
      </c>
      <c r="H23" s="186">
        <v>136837000</v>
      </c>
      <c r="I23" s="11">
        <v>0</v>
      </c>
      <c r="J23" s="11">
        <f>H23-F23</f>
        <v>124633000</v>
      </c>
      <c r="K23" s="186">
        <v>126768608.73</v>
      </c>
      <c r="L23" s="11">
        <v>0</v>
      </c>
      <c r="M23" s="11">
        <f t="shared" si="1"/>
        <v>10068391.269999996</v>
      </c>
      <c r="N23" s="187"/>
    </row>
    <row r="24" spans="1:14">
      <c r="A24" s="43"/>
      <c r="B24" s="159" t="s">
        <v>51</v>
      </c>
      <c r="C24" s="21" t="s">
        <v>52</v>
      </c>
      <c r="D24" s="184">
        <v>590201167</v>
      </c>
      <c r="E24" s="11">
        <v>0</v>
      </c>
      <c r="F24" s="184">
        <v>1546296000</v>
      </c>
      <c r="G24" s="11">
        <v>0</v>
      </c>
      <c r="H24" s="188">
        <v>2181018000</v>
      </c>
      <c r="I24" s="11">
        <v>0</v>
      </c>
      <c r="J24" s="11">
        <f>H24-F24</f>
        <v>634722000</v>
      </c>
      <c r="K24" s="189">
        <v>1943202550</v>
      </c>
      <c r="L24" s="11">
        <v>0</v>
      </c>
      <c r="M24" s="11">
        <f t="shared" si="1"/>
        <v>237815450</v>
      </c>
      <c r="N24" s="187">
        <f>K24/H24*100</f>
        <v>89.096126212621812</v>
      </c>
    </row>
    <row r="25" spans="1:14">
      <c r="A25" s="43"/>
      <c r="B25" s="22"/>
      <c r="C25" s="23" t="s">
        <v>122</v>
      </c>
      <c r="D25" s="29">
        <f>D23+D24</f>
        <v>638800214</v>
      </c>
      <c r="E25" s="13">
        <v>0</v>
      </c>
      <c r="F25" s="29">
        <f>F23+F24</f>
        <v>1558500000</v>
      </c>
      <c r="G25" s="13">
        <v>0</v>
      </c>
      <c r="H25" s="29">
        <f>H23+H24</f>
        <v>2317855000</v>
      </c>
      <c r="I25" s="13">
        <v>0</v>
      </c>
      <c r="J25" s="13">
        <f>SUM(J23:J24)</f>
        <v>759355000</v>
      </c>
      <c r="K25" s="29">
        <f>K23+K24</f>
        <v>2069971158.73</v>
      </c>
      <c r="L25" s="13">
        <v>0</v>
      </c>
      <c r="M25" s="190">
        <f>SUM(M23:M24)</f>
        <v>247883841.26999998</v>
      </c>
      <c r="N25" s="1">
        <f>K25/H25*100</f>
        <v>89.305463833156082</v>
      </c>
    </row>
    <row r="26" spans="1:14">
      <c r="A26" s="43"/>
      <c r="B26" s="159" t="s">
        <v>49</v>
      </c>
      <c r="C26" s="21" t="s">
        <v>50</v>
      </c>
      <c r="D26" s="10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f>H26-F26</f>
        <v>0</v>
      </c>
      <c r="K26" s="10"/>
      <c r="L26" s="11">
        <v>0</v>
      </c>
      <c r="M26" s="11">
        <f t="shared" si="1"/>
        <v>0</v>
      </c>
      <c r="N26" s="187"/>
    </row>
    <row r="27" spans="1:14">
      <c r="A27" s="43"/>
      <c r="B27" s="159" t="s">
        <v>51</v>
      </c>
      <c r="C27" s="21" t="s">
        <v>52</v>
      </c>
      <c r="D27" s="10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f>H27-F27</f>
        <v>0</v>
      </c>
      <c r="K27" s="10"/>
      <c r="L27" s="11">
        <v>0</v>
      </c>
      <c r="M27" s="11">
        <f t="shared" si="1"/>
        <v>0</v>
      </c>
      <c r="N27" s="187"/>
    </row>
    <row r="28" spans="1:14">
      <c r="A28" s="43"/>
      <c r="B28" s="22"/>
      <c r="C28" s="23" t="s">
        <v>123</v>
      </c>
      <c r="D28" s="12">
        <v>0</v>
      </c>
      <c r="E28" s="13">
        <v>0</v>
      </c>
      <c r="F28" s="13">
        <v>0</v>
      </c>
      <c r="G28" s="13">
        <v>0</v>
      </c>
      <c r="H28" s="13">
        <f>SUM(H26:H27)</f>
        <v>0</v>
      </c>
      <c r="I28" s="13">
        <v>0</v>
      </c>
      <c r="J28" s="13">
        <f>SUM(J26:J27)</f>
        <v>0</v>
      </c>
      <c r="K28" s="13">
        <f>SUM(K26:K27)</f>
        <v>0</v>
      </c>
      <c r="L28" s="13">
        <v>0</v>
      </c>
      <c r="M28" s="13">
        <f>SUM(M26:M27)</f>
        <v>0</v>
      </c>
      <c r="N28" s="1">
        <v>0</v>
      </c>
    </row>
    <row r="29" spans="1:14">
      <c r="A29" s="43"/>
      <c r="B29" s="24"/>
      <c r="C29" s="25" t="s">
        <v>124</v>
      </c>
      <c r="D29" s="191">
        <f>D25</f>
        <v>638800214</v>
      </c>
      <c r="E29" s="191">
        <f t="shared" ref="E29:N29" si="4">E25</f>
        <v>0</v>
      </c>
      <c r="F29" s="191">
        <f t="shared" si="4"/>
        <v>1558500000</v>
      </c>
      <c r="G29" s="191">
        <f t="shared" si="4"/>
        <v>0</v>
      </c>
      <c r="H29" s="191">
        <f t="shared" si="4"/>
        <v>2317855000</v>
      </c>
      <c r="I29" s="191">
        <f t="shared" si="4"/>
        <v>0</v>
      </c>
      <c r="J29" s="191">
        <f t="shared" si="4"/>
        <v>759355000</v>
      </c>
      <c r="K29" s="191">
        <f t="shared" si="4"/>
        <v>2069971158.73</v>
      </c>
      <c r="L29" s="191">
        <f t="shared" si="4"/>
        <v>0</v>
      </c>
      <c r="M29" s="191">
        <f t="shared" si="4"/>
        <v>247883841.26999998</v>
      </c>
      <c r="N29" s="191">
        <f t="shared" si="4"/>
        <v>89.305463833156082</v>
      </c>
    </row>
    <row r="30" spans="1:14">
      <c r="A30" s="43"/>
      <c r="B30" s="24"/>
      <c r="C30" s="25" t="s">
        <v>125</v>
      </c>
      <c r="D30" s="29">
        <f>D22+D25</f>
        <v>6767799816.96</v>
      </c>
      <c r="E30" s="29">
        <f t="shared" ref="E30:M30" si="5">E22+E25</f>
        <v>100</v>
      </c>
      <c r="F30" s="29">
        <f t="shared" si="5"/>
        <v>8313436000</v>
      </c>
      <c r="G30" s="29">
        <f t="shared" si="5"/>
        <v>100</v>
      </c>
      <c r="H30" s="29">
        <f t="shared" si="5"/>
        <v>9978226126</v>
      </c>
      <c r="I30" s="29">
        <f t="shared" si="5"/>
        <v>100</v>
      </c>
      <c r="J30" s="29">
        <f t="shared" si="5"/>
        <v>1664790126</v>
      </c>
      <c r="K30" s="29">
        <f t="shared" si="5"/>
        <v>9629528714.7299995</v>
      </c>
      <c r="L30" s="29">
        <f t="shared" si="5"/>
        <v>100.00000000000001</v>
      </c>
      <c r="M30" s="29">
        <f t="shared" si="5"/>
        <v>348697411.26999998</v>
      </c>
      <c r="N30" s="190">
        <f>K30/H30*100</f>
        <v>96.505416825928521</v>
      </c>
    </row>
    <row r="31" spans="1:14">
      <c r="A31" s="43"/>
      <c r="B31" s="22"/>
      <c r="C31" s="23" t="s">
        <v>126</v>
      </c>
      <c r="D31" s="12">
        <v>0</v>
      </c>
      <c r="E31" s="13"/>
      <c r="F31" s="13"/>
      <c r="G31" s="13"/>
      <c r="H31" s="13"/>
      <c r="I31" s="13"/>
      <c r="J31" s="13"/>
      <c r="K31" s="12">
        <v>0</v>
      </c>
      <c r="L31" s="13"/>
      <c r="M31" s="13"/>
      <c r="N31" s="1"/>
    </row>
    <row r="32" spans="1:14">
      <c r="A32" s="43"/>
      <c r="B32" s="22"/>
      <c r="C32" s="23" t="s">
        <v>127</v>
      </c>
      <c r="D32" s="12">
        <v>13467</v>
      </c>
      <c r="E32" s="13"/>
      <c r="F32" s="13"/>
      <c r="G32" s="13"/>
      <c r="H32" s="13"/>
      <c r="I32" s="13"/>
      <c r="J32" s="13"/>
      <c r="K32" s="12">
        <v>0</v>
      </c>
      <c r="L32" s="13"/>
      <c r="M32" s="13"/>
      <c r="N32" s="1"/>
    </row>
    <row r="33" spans="1:14" ht="12" thickBot="1">
      <c r="A33" s="43"/>
      <c r="B33" s="24"/>
      <c r="C33" s="25" t="s">
        <v>128</v>
      </c>
      <c r="D33" s="192">
        <f>D30</f>
        <v>6767799816.96</v>
      </c>
      <c r="E33" s="192">
        <f t="shared" ref="E33:N33" si="6">E30</f>
        <v>100</v>
      </c>
      <c r="F33" s="192">
        <f t="shared" si="6"/>
        <v>8313436000</v>
      </c>
      <c r="G33" s="192">
        <f t="shared" si="6"/>
        <v>100</v>
      </c>
      <c r="H33" s="192">
        <f t="shared" si="6"/>
        <v>9978226126</v>
      </c>
      <c r="I33" s="192">
        <f t="shared" si="6"/>
        <v>100</v>
      </c>
      <c r="J33" s="192">
        <f t="shared" si="6"/>
        <v>1664790126</v>
      </c>
      <c r="K33" s="192">
        <f t="shared" si="6"/>
        <v>9629528714.7299995</v>
      </c>
      <c r="L33" s="192">
        <f t="shared" si="6"/>
        <v>100.00000000000001</v>
      </c>
      <c r="M33" s="192">
        <f t="shared" si="6"/>
        <v>348697411.26999998</v>
      </c>
      <c r="N33" s="192">
        <f t="shared" si="6"/>
        <v>96.505416825928521</v>
      </c>
    </row>
    <row r="34" spans="1:14" ht="15.75" customHeight="1" thickTop="1">
      <c r="A34" s="43"/>
      <c r="B34" s="1292" t="s">
        <v>129</v>
      </c>
      <c r="C34" s="1292"/>
      <c r="D34" s="176"/>
      <c r="E34" s="33"/>
      <c r="F34" s="176"/>
      <c r="G34" s="33"/>
      <c r="H34" s="176"/>
      <c r="I34" s="33"/>
      <c r="J34" s="177"/>
      <c r="K34" s="176"/>
      <c r="L34" s="33"/>
      <c r="M34" s="176"/>
      <c r="N34" s="193"/>
    </row>
    <row r="35" spans="1:14">
      <c r="A35" s="43"/>
      <c r="B35" s="183" t="s">
        <v>33</v>
      </c>
      <c r="C35" s="174" t="s">
        <v>26</v>
      </c>
      <c r="D35" s="172"/>
      <c r="E35" s="32"/>
      <c r="F35" s="172"/>
      <c r="G35" s="32"/>
      <c r="H35" s="172"/>
      <c r="I35" s="32"/>
      <c r="J35" s="175"/>
      <c r="K35" s="172"/>
      <c r="L35" s="32"/>
      <c r="M35" s="172"/>
      <c r="N35" s="182"/>
    </row>
    <row r="36" spans="1:14" ht="15" customHeight="1">
      <c r="A36" s="43"/>
      <c r="B36" s="159"/>
      <c r="C36" s="27" t="s">
        <v>130</v>
      </c>
      <c r="D36" s="192">
        <f>D22</f>
        <v>6128999602.96</v>
      </c>
      <c r="E36" s="192">
        <f t="shared" ref="E36:N36" si="7">E22</f>
        <v>100</v>
      </c>
      <c r="F36" s="192">
        <f t="shared" si="7"/>
        <v>6754936000</v>
      </c>
      <c r="G36" s="192">
        <f t="shared" si="7"/>
        <v>100</v>
      </c>
      <c r="H36" s="192">
        <f t="shared" si="7"/>
        <v>7660371126</v>
      </c>
      <c r="I36" s="192">
        <f t="shared" si="7"/>
        <v>100</v>
      </c>
      <c r="J36" s="192">
        <f t="shared" si="7"/>
        <v>905435126</v>
      </c>
      <c r="K36" s="192">
        <f>K22</f>
        <v>7559557556</v>
      </c>
      <c r="L36" s="192">
        <f t="shared" si="7"/>
        <v>100.00000000000001</v>
      </c>
      <c r="M36" s="192">
        <f t="shared" si="7"/>
        <v>100813570</v>
      </c>
      <c r="N36" s="192">
        <f t="shared" si="7"/>
        <v>98.68395971498262</v>
      </c>
    </row>
    <row r="37" spans="1:14" ht="15" customHeight="1">
      <c r="A37" s="43"/>
      <c r="B37" s="159" t="s">
        <v>131</v>
      </c>
      <c r="C37" s="14" t="s">
        <v>132</v>
      </c>
      <c r="D37" s="10"/>
      <c r="E37" s="11"/>
      <c r="F37" s="11"/>
      <c r="G37" s="11"/>
      <c r="H37" s="11"/>
      <c r="I37" s="11"/>
      <c r="J37" s="11"/>
      <c r="K37" s="10"/>
      <c r="L37" s="11"/>
      <c r="M37" s="11"/>
      <c r="N37" s="187"/>
    </row>
    <row r="38" spans="1:14" ht="15" customHeight="1">
      <c r="A38" s="43"/>
      <c r="B38" s="159"/>
      <c r="C38" s="14"/>
      <c r="D38" s="26"/>
      <c r="E38" s="26">
        <f t="shared" ref="E38:L38" si="8">E24</f>
        <v>0</v>
      </c>
      <c r="F38" s="26"/>
      <c r="G38" s="26">
        <f t="shared" si="8"/>
        <v>0</v>
      </c>
      <c r="H38" s="26"/>
      <c r="I38" s="26">
        <f t="shared" si="8"/>
        <v>0</v>
      </c>
      <c r="J38" s="26"/>
      <c r="K38" s="26"/>
      <c r="L38" s="26">
        <f t="shared" si="8"/>
        <v>0</v>
      </c>
      <c r="M38" s="26"/>
      <c r="N38" s="26"/>
    </row>
    <row r="39" spans="1:14" ht="15" customHeight="1">
      <c r="A39" s="43"/>
      <c r="B39" s="159"/>
      <c r="C39" s="27" t="s">
        <v>133</v>
      </c>
      <c r="D39" s="192">
        <f>D25</f>
        <v>638800214</v>
      </c>
      <c r="E39" s="192">
        <f t="shared" ref="E39:N39" si="9">E25</f>
        <v>0</v>
      </c>
      <c r="F39" s="192">
        <f t="shared" si="9"/>
        <v>1558500000</v>
      </c>
      <c r="G39" s="192">
        <f t="shared" si="9"/>
        <v>0</v>
      </c>
      <c r="H39" s="192">
        <f t="shared" si="9"/>
        <v>2317855000</v>
      </c>
      <c r="I39" s="192">
        <f t="shared" si="9"/>
        <v>0</v>
      </c>
      <c r="J39" s="192">
        <f t="shared" si="9"/>
        <v>759355000</v>
      </c>
      <c r="K39" s="192">
        <f t="shared" si="9"/>
        <v>2069971158.73</v>
      </c>
      <c r="L39" s="192">
        <f t="shared" si="9"/>
        <v>0</v>
      </c>
      <c r="M39" s="192">
        <f t="shared" si="9"/>
        <v>247883841.26999998</v>
      </c>
      <c r="N39" s="192">
        <f t="shared" si="9"/>
        <v>89.305463833156082</v>
      </c>
    </row>
    <row r="40" spans="1:14" ht="15" customHeight="1">
      <c r="A40" s="43"/>
      <c r="B40" s="159" t="s">
        <v>131</v>
      </c>
      <c r="C40" s="14" t="s">
        <v>132</v>
      </c>
      <c r="D40" s="10"/>
      <c r="E40" s="11"/>
      <c r="F40" s="11"/>
      <c r="G40" s="11"/>
      <c r="H40" s="11"/>
      <c r="I40" s="11"/>
      <c r="J40" s="11"/>
      <c r="K40" s="10"/>
      <c r="L40" s="11"/>
      <c r="M40" s="11"/>
      <c r="N40" s="187"/>
    </row>
    <row r="41" spans="1:14" ht="15" customHeight="1">
      <c r="A41" s="43"/>
      <c r="B41" s="159"/>
      <c r="C41" s="14"/>
      <c r="D41" s="10"/>
      <c r="E41" s="11"/>
      <c r="F41" s="11"/>
      <c r="G41" s="11"/>
      <c r="H41" s="11"/>
      <c r="I41" s="11"/>
      <c r="J41" s="11"/>
      <c r="K41" s="10"/>
      <c r="L41" s="11">
        <v>0</v>
      </c>
      <c r="M41" s="11">
        <f>H41-K41</f>
        <v>0</v>
      </c>
      <c r="N41" s="187" t="e">
        <f>K41/H41*100</f>
        <v>#DIV/0!</v>
      </c>
    </row>
    <row r="42" spans="1:14" ht="15" customHeight="1">
      <c r="A42" s="43"/>
      <c r="B42" s="159"/>
      <c r="C42" s="14"/>
      <c r="D42" s="10"/>
      <c r="E42" s="11"/>
      <c r="F42" s="11"/>
      <c r="G42" s="11"/>
      <c r="H42" s="11"/>
      <c r="I42" s="11"/>
      <c r="J42" s="11"/>
      <c r="K42" s="10"/>
      <c r="L42" s="11">
        <v>0</v>
      </c>
      <c r="M42" s="11">
        <f>H42-K42</f>
        <v>0</v>
      </c>
      <c r="N42" s="187" t="e">
        <f>K42/H42*100</f>
        <v>#DIV/0!</v>
      </c>
    </row>
    <row r="43" spans="1:14" ht="15" customHeight="1">
      <c r="A43" s="43"/>
      <c r="B43" s="159"/>
      <c r="C43" s="14"/>
      <c r="D43" s="10"/>
      <c r="E43" s="11"/>
      <c r="F43" s="11"/>
      <c r="G43" s="11"/>
      <c r="H43" s="11"/>
      <c r="I43" s="11"/>
      <c r="J43" s="11"/>
      <c r="K43" s="10"/>
      <c r="L43" s="11">
        <v>0</v>
      </c>
      <c r="M43" s="11">
        <f>H43-K43</f>
        <v>0</v>
      </c>
      <c r="N43" s="187">
        <v>0</v>
      </c>
    </row>
    <row r="44" spans="1:14" ht="15" customHeight="1">
      <c r="A44" s="43"/>
      <c r="B44" s="159"/>
      <c r="C44" s="15" t="s">
        <v>122</v>
      </c>
      <c r="D44" s="12">
        <f>D39</f>
        <v>638800214</v>
      </c>
      <c r="E44" s="12">
        <f t="shared" ref="E44:N44" si="10">E39</f>
        <v>0</v>
      </c>
      <c r="F44" s="12">
        <f t="shared" si="10"/>
        <v>1558500000</v>
      </c>
      <c r="G44" s="12">
        <f t="shared" si="10"/>
        <v>0</v>
      </c>
      <c r="H44" s="12">
        <f t="shared" si="10"/>
        <v>2317855000</v>
      </c>
      <c r="I44" s="12">
        <f t="shared" si="10"/>
        <v>0</v>
      </c>
      <c r="J44" s="12">
        <f t="shared" si="10"/>
        <v>759355000</v>
      </c>
      <c r="K44" s="12">
        <f t="shared" si="10"/>
        <v>2069971158.73</v>
      </c>
      <c r="L44" s="12">
        <f t="shared" si="10"/>
        <v>0</v>
      </c>
      <c r="M44" s="12">
        <f t="shared" si="10"/>
        <v>247883841.26999998</v>
      </c>
      <c r="N44" s="12">
        <f t="shared" si="10"/>
        <v>89.305463833156082</v>
      </c>
    </row>
    <row r="45" spans="1:14" ht="15" customHeight="1">
      <c r="A45" s="43"/>
      <c r="B45" s="159" t="s">
        <v>131</v>
      </c>
      <c r="C45" s="14" t="s">
        <v>132</v>
      </c>
      <c r="D45" s="10"/>
      <c r="E45" s="11"/>
      <c r="F45" s="11"/>
      <c r="G45" s="11"/>
      <c r="H45" s="11"/>
      <c r="I45" s="11"/>
      <c r="J45" s="11"/>
      <c r="K45" s="10"/>
      <c r="L45" s="11"/>
      <c r="M45" s="11"/>
      <c r="N45" s="187" t="e">
        <f>K45/H45*100</f>
        <v>#DIV/0!</v>
      </c>
    </row>
    <row r="46" spans="1:14" ht="15" customHeight="1">
      <c r="A46" s="43"/>
      <c r="B46" s="159"/>
      <c r="C46" s="15" t="s">
        <v>123</v>
      </c>
      <c r="D46" s="12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2">
        <v>0</v>
      </c>
      <c r="L46" s="13">
        <v>0</v>
      </c>
      <c r="M46" s="13">
        <v>0</v>
      </c>
      <c r="N46" s="187" t="e">
        <f>K46/H46*100</f>
        <v>#DIV/0!</v>
      </c>
    </row>
    <row r="47" spans="1:14" ht="15" customHeight="1">
      <c r="A47" s="43"/>
      <c r="B47" s="159" t="s">
        <v>131</v>
      </c>
      <c r="C47" s="14" t="s">
        <v>132</v>
      </c>
      <c r="D47" s="10"/>
      <c r="E47" s="11"/>
      <c r="F47" s="11"/>
      <c r="G47" s="11"/>
      <c r="H47" s="11"/>
      <c r="I47" s="11"/>
      <c r="J47" s="11"/>
      <c r="K47" s="10"/>
      <c r="L47" s="11"/>
      <c r="M47" s="11"/>
      <c r="N47" s="187" t="e">
        <f>K47/H47*100</f>
        <v>#DIV/0!</v>
      </c>
    </row>
    <row r="48" spans="1:14" ht="15" customHeight="1">
      <c r="A48" s="43"/>
      <c r="B48" s="159" t="s">
        <v>131</v>
      </c>
      <c r="C48" s="14" t="s">
        <v>132</v>
      </c>
      <c r="D48" s="10"/>
      <c r="E48" s="11"/>
      <c r="F48" s="11"/>
      <c r="G48" s="11"/>
      <c r="H48" s="11"/>
      <c r="I48" s="11"/>
      <c r="J48" s="11"/>
      <c r="K48" s="10"/>
      <c r="L48" s="11"/>
      <c r="M48" s="11"/>
      <c r="N48" s="187" t="e">
        <f>K48/H48*100</f>
        <v>#DIV/0!</v>
      </c>
    </row>
    <row r="49" spans="1:14" ht="15" customHeight="1" thickBot="1">
      <c r="A49" s="43"/>
      <c r="B49" s="159"/>
      <c r="C49" s="28" t="s">
        <v>128</v>
      </c>
      <c r="D49" s="29">
        <f>D22+D25</f>
        <v>6767799816.96</v>
      </c>
      <c r="E49" s="29">
        <f t="shared" ref="E49:M49" si="11">E22+E25</f>
        <v>100</v>
      </c>
      <c r="F49" s="29">
        <f t="shared" si="11"/>
        <v>8313436000</v>
      </c>
      <c r="G49" s="29">
        <f t="shared" si="11"/>
        <v>100</v>
      </c>
      <c r="H49" s="29">
        <f t="shared" si="11"/>
        <v>9978226126</v>
      </c>
      <c r="I49" s="29">
        <f t="shared" si="11"/>
        <v>100</v>
      </c>
      <c r="J49" s="29">
        <f t="shared" si="11"/>
        <v>1664790126</v>
      </c>
      <c r="K49" s="29">
        <f t="shared" si="11"/>
        <v>9629528714.7299995</v>
      </c>
      <c r="L49" s="29">
        <f t="shared" si="11"/>
        <v>100.00000000000001</v>
      </c>
      <c r="M49" s="29">
        <f t="shared" si="11"/>
        <v>348697411.26999998</v>
      </c>
      <c r="N49" s="187">
        <f>K49/H49*100</f>
        <v>96.505416825928521</v>
      </c>
    </row>
    <row r="50" spans="1:14" ht="12" thickTop="1">
      <c r="A50" s="43"/>
      <c r="B50" s="1293"/>
      <c r="C50" s="1293"/>
      <c r="D50" s="1293"/>
      <c r="E50" s="1293"/>
      <c r="F50" s="1293"/>
      <c r="G50" s="1293"/>
      <c r="H50" s="1293"/>
      <c r="I50" s="1293"/>
      <c r="J50" s="1293"/>
      <c r="K50" s="1293"/>
      <c r="L50" s="1293"/>
      <c r="M50" s="1293"/>
      <c r="N50" s="1293"/>
    </row>
    <row r="51" spans="1:14">
      <c r="A51" s="43"/>
      <c r="B51" s="179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</row>
    <row r="52" spans="1:14" ht="24.75" customHeight="1">
      <c r="A52" s="60"/>
      <c r="B52" s="1290" t="s">
        <v>134</v>
      </c>
      <c r="C52" s="16" t="s">
        <v>370</v>
      </c>
      <c r="D52" s="1294" t="s">
        <v>58</v>
      </c>
      <c r="E52" s="1294"/>
      <c r="F52" s="158" t="s">
        <v>59</v>
      </c>
      <c r="G52" s="1295"/>
      <c r="H52" s="1296"/>
      <c r="I52" s="1296"/>
      <c r="J52" s="1296"/>
      <c r="K52" s="1296"/>
      <c r="L52" s="1296"/>
      <c r="M52" s="1297"/>
      <c r="N52" s="171"/>
    </row>
    <row r="53" spans="1:14" ht="21" customHeight="1">
      <c r="A53" s="60"/>
      <c r="B53" s="1290"/>
      <c r="C53" s="158" t="s">
        <v>143</v>
      </c>
      <c r="D53" s="1294"/>
      <c r="E53" s="1294"/>
      <c r="F53" s="158" t="s">
        <v>60</v>
      </c>
      <c r="G53" s="1298"/>
      <c r="H53" s="1299"/>
      <c r="I53" s="1299"/>
      <c r="J53" s="1299"/>
      <c r="K53" s="1299"/>
      <c r="L53" s="1299"/>
      <c r="M53" s="1300"/>
      <c r="N53" s="171"/>
    </row>
    <row r="54" spans="1:14" ht="22.5" customHeight="1">
      <c r="A54" s="60"/>
      <c r="B54" s="1290"/>
      <c r="C54" s="158" t="s">
        <v>144</v>
      </c>
      <c r="D54" s="1294"/>
      <c r="E54" s="1294"/>
      <c r="F54" s="158" t="s">
        <v>61</v>
      </c>
      <c r="G54" s="1298"/>
      <c r="H54" s="1299"/>
      <c r="I54" s="1299"/>
      <c r="J54" s="1299"/>
      <c r="K54" s="1299"/>
      <c r="L54" s="1299"/>
      <c r="M54" s="1300"/>
      <c r="N54" s="171"/>
    </row>
  </sheetData>
  <mergeCells count="26">
    <mergeCell ref="B2:N2"/>
    <mergeCell ref="B3:N3"/>
    <mergeCell ref="B4:N4"/>
    <mergeCell ref="B6:B7"/>
    <mergeCell ref="C6:E7"/>
    <mergeCell ref="F6:G7"/>
    <mergeCell ref="H6:N7"/>
    <mergeCell ref="A5:A6"/>
    <mergeCell ref="C8:E8"/>
    <mergeCell ref="F8:G8"/>
    <mergeCell ref="H8:N8"/>
    <mergeCell ref="B9:C12"/>
    <mergeCell ref="D9:N9"/>
    <mergeCell ref="F10:G10"/>
    <mergeCell ref="N10:N11"/>
    <mergeCell ref="H10:I10"/>
    <mergeCell ref="K10:L10"/>
    <mergeCell ref="M10:M11"/>
    <mergeCell ref="B52:B54"/>
    <mergeCell ref="B13:C13"/>
    <mergeCell ref="B34:C34"/>
    <mergeCell ref="B50:N50"/>
    <mergeCell ref="D52:E54"/>
    <mergeCell ref="G52:M52"/>
    <mergeCell ref="G53:M53"/>
    <mergeCell ref="G54:M54"/>
  </mergeCells>
  <pageMargins left="0.17" right="0.17" top="0.35" bottom="0.23" header="0.32" footer="0.17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59999389629810485"/>
  </sheetPr>
  <dimension ref="B1:R40"/>
  <sheetViews>
    <sheetView topLeftCell="A12" workbookViewId="0">
      <selection activeCell="A6" sqref="A6:XFD8"/>
    </sheetView>
  </sheetViews>
  <sheetFormatPr defaultRowHeight="15"/>
  <cols>
    <col min="1" max="1" width="0.28515625" style="34" customWidth="1"/>
    <col min="2" max="2" width="7.7109375" style="34" customWidth="1"/>
    <col min="3" max="3" width="49.85546875" style="34" customWidth="1"/>
    <col min="4" max="4" width="13.42578125" style="34" customWidth="1"/>
    <col min="5" max="5" width="10" style="34" customWidth="1"/>
    <col min="6" max="6" width="13.42578125" style="34" customWidth="1"/>
    <col min="7" max="7" width="8.85546875" style="34" customWidth="1"/>
    <col min="8" max="8" width="13.42578125" style="42" customWidth="1"/>
    <col min="9" max="9" width="8.5703125" style="42" customWidth="1"/>
    <col min="10" max="11" width="13.42578125" style="42" customWidth="1"/>
    <col min="12" max="12" width="9.85546875" style="34" customWidth="1"/>
    <col min="13" max="14" width="13.42578125" style="34" customWidth="1"/>
    <col min="15" max="15" width="0" style="34" hidden="1" customWidth="1"/>
    <col min="16" max="18" width="9.140625" style="34" hidden="1" customWidth="1"/>
    <col min="19" max="19" width="0" style="34" hidden="1" customWidth="1"/>
    <col min="20" max="16384" width="9.140625" style="34"/>
  </cols>
  <sheetData>
    <row r="1" spans="2:15" ht="26.25" hidden="1" customHeight="1">
      <c r="B1" s="764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2:15" ht="26.25" hidden="1" customHeight="1">
      <c r="B2" s="1322" t="s">
        <v>112</v>
      </c>
      <c r="C2" s="1322"/>
      <c r="D2" s="1322"/>
      <c r="E2" s="1322"/>
      <c r="F2" s="1322"/>
      <c r="G2" s="1322"/>
      <c r="H2" s="1322"/>
      <c r="I2" s="1322"/>
      <c r="J2" s="1322"/>
      <c r="K2" s="1322"/>
      <c r="L2" s="1322"/>
      <c r="M2" s="1322"/>
      <c r="N2" s="1322"/>
    </row>
    <row r="3" spans="2:15" ht="26.25" hidden="1" customHeight="1">
      <c r="B3" s="1323" t="s">
        <v>159</v>
      </c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</row>
    <row r="4" spans="2:15" ht="26.25" hidden="1" customHeight="1">
      <c r="B4" s="1324" t="s">
        <v>1</v>
      </c>
      <c r="C4" s="1324"/>
      <c r="D4" s="1324"/>
      <c r="E4" s="1324"/>
      <c r="F4" s="1324"/>
      <c r="G4" s="1324"/>
      <c r="H4" s="1324"/>
      <c r="I4" s="1324"/>
      <c r="J4" s="1324"/>
      <c r="K4" s="1324"/>
      <c r="L4" s="1324"/>
      <c r="M4" s="1324"/>
      <c r="N4" s="1324"/>
    </row>
    <row r="5" spans="2:15" ht="26.25" hidden="1" customHeight="1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2:15" ht="13.5" customHeight="1"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2:15" ht="13.5" customHeight="1">
      <c r="B7" s="62"/>
      <c r="C7" s="1260" t="s">
        <v>112</v>
      </c>
      <c r="D7" s="1260"/>
      <c r="E7" s="1260"/>
      <c r="F7" s="1260"/>
      <c r="G7" s="1260"/>
      <c r="H7" s="1260"/>
      <c r="I7" s="1260"/>
      <c r="J7" s="1260"/>
      <c r="K7" s="1260"/>
      <c r="L7" s="1260"/>
      <c r="M7" s="1260"/>
      <c r="N7" s="1260"/>
      <c r="O7" s="1260"/>
    </row>
    <row r="8" spans="2:15" ht="13.5" customHeight="1" thickBot="1">
      <c r="B8" s="62"/>
      <c r="C8" s="1261" t="s">
        <v>498</v>
      </c>
      <c r="D8" s="1261"/>
      <c r="E8" s="1261"/>
      <c r="F8" s="1261"/>
      <c r="G8" s="1261"/>
      <c r="H8" s="1261"/>
      <c r="I8" s="1261"/>
      <c r="J8" s="1261"/>
      <c r="K8" s="1261"/>
      <c r="L8" s="1261"/>
      <c r="M8" s="1261"/>
      <c r="N8" s="1261"/>
      <c r="O8" s="1261"/>
    </row>
    <row r="9" spans="2:15" ht="16.5" customHeight="1" thickTop="1" thickBot="1">
      <c r="B9" s="1325" t="s">
        <v>113</v>
      </c>
      <c r="C9" s="1326" t="s">
        <v>160</v>
      </c>
      <c r="D9" s="1326"/>
      <c r="E9" s="1326"/>
      <c r="F9" s="1327" t="s">
        <v>3</v>
      </c>
      <c r="G9" s="1327"/>
      <c r="H9" s="1328" t="s">
        <v>179</v>
      </c>
      <c r="I9" s="1328"/>
      <c r="J9" s="1328"/>
      <c r="K9" s="1328"/>
      <c r="L9" s="1328"/>
      <c r="M9" s="1328"/>
      <c r="N9" s="1328"/>
    </row>
    <row r="10" spans="2:15" ht="17.25" customHeight="1" thickTop="1">
      <c r="B10" s="1325"/>
      <c r="C10" s="1326"/>
      <c r="D10" s="1326"/>
      <c r="E10" s="1326"/>
      <c r="F10" s="1327"/>
      <c r="G10" s="1327"/>
      <c r="H10" s="1328"/>
      <c r="I10" s="1328"/>
      <c r="J10" s="1328"/>
      <c r="K10" s="1328"/>
      <c r="L10" s="1328"/>
      <c r="M10" s="1328"/>
      <c r="N10" s="1328"/>
    </row>
    <row r="11" spans="2:15" ht="15.75" customHeight="1" thickBot="1">
      <c r="B11" s="351" t="s">
        <v>114</v>
      </c>
      <c r="C11" s="1317" t="s">
        <v>150</v>
      </c>
      <c r="D11" s="1317"/>
      <c r="E11" s="767"/>
      <c r="F11" s="1318" t="s">
        <v>115</v>
      </c>
      <c r="G11" s="1318"/>
      <c r="H11" s="1319" t="s">
        <v>149</v>
      </c>
      <c r="I11" s="1319"/>
      <c r="J11" s="1319"/>
      <c r="K11" s="1319"/>
      <c r="L11" s="1319"/>
      <c r="M11" s="1319"/>
      <c r="N11" s="1319"/>
    </row>
    <row r="12" spans="2:15" ht="16.5" customHeight="1" thickTop="1" thickBot="1">
      <c r="B12" s="1317" t="s">
        <v>4</v>
      </c>
      <c r="C12" s="1317"/>
      <c r="D12" s="1320" t="s">
        <v>116</v>
      </c>
      <c r="E12" s="1320"/>
      <c r="F12" s="1320"/>
      <c r="G12" s="1320"/>
      <c r="H12" s="1320"/>
      <c r="I12" s="1320"/>
      <c r="J12" s="1320"/>
      <c r="K12" s="1320"/>
      <c r="L12" s="1320"/>
      <c r="M12" s="1320"/>
      <c r="N12" s="1320"/>
    </row>
    <row r="13" spans="2:15" ht="33" customHeight="1" thickTop="1" thickBot="1">
      <c r="B13" s="1317"/>
      <c r="C13" s="1317"/>
      <c r="D13" s="327" t="s">
        <v>117</v>
      </c>
      <c r="E13" s="328">
        <v>2025</v>
      </c>
      <c r="F13" s="1275" t="s">
        <v>6</v>
      </c>
      <c r="G13" s="1276"/>
      <c r="H13" s="1275" t="s">
        <v>6</v>
      </c>
      <c r="I13" s="1276"/>
      <c r="J13" s="352" t="s">
        <v>6</v>
      </c>
      <c r="K13" s="1275" t="s">
        <v>6</v>
      </c>
      <c r="L13" s="1276"/>
      <c r="M13" s="1277" t="s">
        <v>118</v>
      </c>
      <c r="N13" s="1321" t="s">
        <v>8</v>
      </c>
    </row>
    <row r="14" spans="2:15" ht="38.25" customHeight="1" thickTop="1" thickBot="1">
      <c r="B14" s="1317"/>
      <c r="C14" s="1317"/>
      <c r="D14" s="329" t="s">
        <v>119</v>
      </c>
      <c r="E14" s="765" t="s">
        <v>10</v>
      </c>
      <c r="F14" s="330" t="s">
        <v>495</v>
      </c>
      <c r="G14" s="331" t="s">
        <v>10</v>
      </c>
      <c r="H14" s="330" t="s">
        <v>496</v>
      </c>
      <c r="I14" s="331" t="s">
        <v>10</v>
      </c>
      <c r="J14" s="332" t="s">
        <v>120</v>
      </c>
      <c r="K14" s="330" t="s">
        <v>12</v>
      </c>
      <c r="L14" s="331" t="s">
        <v>10</v>
      </c>
      <c r="M14" s="1278"/>
      <c r="N14" s="1321"/>
    </row>
    <row r="15" spans="2:15" ht="30" customHeight="1" thickTop="1" thickBot="1">
      <c r="B15" s="1317"/>
      <c r="C15" s="1317"/>
      <c r="D15" s="333" t="s">
        <v>13</v>
      </c>
      <c r="E15" s="333" t="s">
        <v>14</v>
      </c>
      <c r="F15" s="333" t="s">
        <v>15</v>
      </c>
      <c r="G15" s="333" t="s">
        <v>16</v>
      </c>
      <c r="H15" s="333" t="s">
        <v>17</v>
      </c>
      <c r="I15" s="333" t="s">
        <v>18</v>
      </c>
      <c r="J15" s="333" t="s">
        <v>19</v>
      </c>
      <c r="K15" s="333" t="s">
        <v>20</v>
      </c>
      <c r="L15" s="333" t="s">
        <v>21</v>
      </c>
      <c r="M15" s="333" t="s">
        <v>22</v>
      </c>
      <c r="N15" s="353" t="s">
        <v>23</v>
      </c>
    </row>
    <row r="16" spans="2:15" ht="26.25" customHeight="1" thickTop="1">
      <c r="B16" s="1225" t="s">
        <v>32</v>
      </c>
      <c r="C16" s="1225"/>
      <c r="D16" s="296"/>
      <c r="E16" s="297"/>
      <c r="F16" s="296"/>
      <c r="G16" s="297"/>
      <c r="H16" s="296"/>
      <c r="I16" s="297"/>
      <c r="J16" s="298"/>
      <c r="K16" s="296"/>
      <c r="L16" s="297"/>
      <c r="M16" s="296"/>
      <c r="N16" s="299"/>
    </row>
    <row r="17" spans="2:14" ht="17.25" customHeight="1">
      <c r="B17" s="354" t="s">
        <v>25</v>
      </c>
      <c r="C17" s="355" t="s">
        <v>26</v>
      </c>
      <c r="D17" s="296"/>
      <c r="E17" s="297"/>
      <c r="F17" s="296"/>
      <c r="G17" s="297"/>
      <c r="H17" s="296"/>
      <c r="I17" s="297"/>
      <c r="J17" s="301"/>
      <c r="K17" s="296"/>
      <c r="L17" s="297"/>
      <c r="M17" s="296"/>
      <c r="N17" s="299"/>
    </row>
    <row r="18" spans="2:14">
      <c r="B18" s="356" t="s">
        <v>34</v>
      </c>
      <c r="C18" s="357" t="s">
        <v>35</v>
      </c>
      <c r="D18" s="358">
        <v>3643746554</v>
      </c>
      <c r="E18" s="344">
        <f>D18/D25*100</f>
        <v>48.200526651060073</v>
      </c>
      <c r="F18" s="358">
        <v>3941500000</v>
      </c>
      <c r="G18" s="344">
        <f>F18/F25*100</f>
        <v>44.331166806657848</v>
      </c>
      <c r="H18" s="358">
        <v>3941500000</v>
      </c>
      <c r="I18" s="344">
        <f>H18/H25*100</f>
        <v>44.331166806657848</v>
      </c>
      <c r="J18" s="358">
        <f>H18-F18</f>
        <v>0</v>
      </c>
      <c r="K18" s="358">
        <v>1339938913</v>
      </c>
      <c r="L18" s="344">
        <f>K18/K25*100</f>
        <v>54.348843078292262</v>
      </c>
      <c r="M18" s="358">
        <f t="shared" ref="M18:M24" si="0">H18-K18</f>
        <v>2601561087</v>
      </c>
      <c r="N18" s="359">
        <f>K18/H18*100</f>
        <v>33.995659342889759</v>
      </c>
    </row>
    <row r="19" spans="2:14">
      <c r="B19" s="356" t="s">
        <v>36</v>
      </c>
      <c r="C19" s="357" t="s">
        <v>37</v>
      </c>
      <c r="D19" s="358">
        <v>600774043</v>
      </c>
      <c r="E19" s="344">
        <f>D19/D25*100</f>
        <v>7.9472117068893722</v>
      </c>
      <c r="F19" s="358">
        <v>641300000</v>
      </c>
      <c r="G19" s="344">
        <f>F19/F25*100</f>
        <v>7.2128827281770089</v>
      </c>
      <c r="H19" s="358">
        <v>641300000</v>
      </c>
      <c r="I19" s="344">
        <f>H19/H25*100</f>
        <v>7.2128827281770089</v>
      </c>
      <c r="J19" s="358">
        <f t="shared" ref="J19:J27" si="1">H19-F19</f>
        <v>0</v>
      </c>
      <c r="K19" s="358">
        <v>226770233</v>
      </c>
      <c r="L19" s="344">
        <f>K19/K25*100</f>
        <v>9.1979564803823077</v>
      </c>
      <c r="M19" s="358">
        <f t="shared" si="0"/>
        <v>414529767</v>
      </c>
      <c r="N19" s="359">
        <f t="shared" ref="N19:N28" si="2">K19/H19*100</f>
        <v>35.361021830656483</v>
      </c>
    </row>
    <row r="20" spans="2:14">
      <c r="B20" s="356" t="s">
        <v>38</v>
      </c>
      <c r="C20" s="357" t="s">
        <v>39</v>
      </c>
      <c r="D20" s="358">
        <v>3041395813</v>
      </c>
      <c r="E20" s="344">
        <f>D20/D25*100</f>
        <v>40.23245792987418</v>
      </c>
      <c r="F20" s="358">
        <v>3944551000</v>
      </c>
      <c r="G20" s="344">
        <f>F20/F25*100</f>
        <v>44.365482267758225</v>
      </c>
      <c r="H20" s="358">
        <v>3944551000</v>
      </c>
      <c r="I20" s="344">
        <f>H20/H25*100</f>
        <v>44.365482267758225</v>
      </c>
      <c r="J20" s="358">
        <f t="shared" si="1"/>
        <v>0</v>
      </c>
      <c r="K20" s="358">
        <v>810831620</v>
      </c>
      <c r="L20" s="344">
        <f>K20/K25*100</f>
        <v>32.887887687084067</v>
      </c>
      <c r="M20" s="358">
        <f t="shared" si="0"/>
        <v>3133719380</v>
      </c>
      <c r="N20" s="359">
        <f t="shared" si="2"/>
        <v>20.555739297070819</v>
      </c>
    </row>
    <row r="21" spans="2:14" ht="15.75" customHeight="1">
      <c r="B21" s="356" t="s">
        <v>40</v>
      </c>
      <c r="C21" s="357" t="s">
        <v>41</v>
      </c>
      <c r="D21" s="358">
        <v>0</v>
      </c>
      <c r="E21" s="344">
        <f>D21/D25*100</f>
        <v>0</v>
      </c>
      <c r="F21" s="358"/>
      <c r="G21" s="344">
        <f>F21/F25*100</f>
        <v>0</v>
      </c>
      <c r="H21" s="358"/>
      <c r="I21" s="344">
        <f>H21/H25*100</f>
        <v>0</v>
      </c>
      <c r="J21" s="358">
        <f t="shared" si="1"/>
        <v>0</v>
      </c>
      <c r="K21" s="358"/>
      <c r="L21" s="344">
        <f>K21/K25*100</f>
        <v>0</v>
      </c>
      <c r="M21" s="358">
        <f t="shared" si="0"/>
        <v>0</v>
      </c>
      <c r="N21" s="359" t="e">
        <f t="shared" si="2"/>
        <v>#DIV/0!</v>
      </c>
    </row>
    <row r="22" spans="2:14">
      <c r="B22" s="356" t="s">
        <v>42</v>
      </c>
      <c r="C22" s="357" t="s">
        <v>43</v>
      </c>
      <c r="D22" s="358">
        <v>0</v>
      </c>
      <c r="E22" s="344">
        <f>D22/D25*100</f>
        <v>0</v>
      </c>
      <c r="F22" s="358"/>
      <c r="G22" s="344">
        <f>F22/F25*100</f>
        <v>0</v>
      </c>
      <c r="H22" s="358"/>
      <c r="I22" s="344">
        <f>H22/H25*100</f>
        <v>0</v>
      </c>
      <c r="J22" s="358">
        <f t="shared" si="1"/>
        <v>0</v>
      </c>
      <c r="K22" s="358"/>
      <c r="L22" s="344">
        <f>K22/K25*100</f>
        <v>0</v>
      </c>
      <c r="M22" s="358">
        <f t="shared" si="0"/>
        <v>0</v>
      </c>
      <c r="N22" s="359" t="e">
        <f t="shared" si="2"/>
        <v>#DIV/0!</v>
      </c>
    </row>
    <row r="23" spans="2:14">
      <c r="B23" s="356" t="s">
        <v>44</v>
      </c>
      <c r="C23" s="357" t="s">
        <v>45</v>
      </c>
      <c r="D23" s="358">
        <v>0</v>
      </c>
      <c r="E23" s="344">
        <f>D23/D25*100</f>
        <v>0</v>
      </c>
      <c r="F23" s="358"/>
      <c r="G23" s="344">
        <f>F23/F25*100</f>
        <v>0</v>
      </c>
      <c r="H23" s="358"/>
      <c r="I23" s="344">
        <f>H23/H25*100</f>
        <v>0</v>
      </c>
      <c r="J23" s="358">
        <f t="shared" si="1"/>
        <v>0</v>
      </c>
      <c r="K23" s="358"/>
      <c r="L23" s="344">
        <f>K23/K25*100</f>
        <v>0</v>
      </c>
      <c r="M23" s="358">
        <f t="shared" si="0"/>
        <v>0</v>
      </c>
      <c r="N23" s="359" t="e">
        <f t="shared" si="2"/>
        <v>#DIV/0!</v>
      </c>
    </row>
    <row r="24" spans="2:14" ht="16.5" customHeight="1">
      <c r="B24" s="356" t="s">
        <v>46</v>
      </c>
      <c r="C24" s="357" t="s">
        <v>47</v>
      </c>
      <c r="D24" s="358">
        <v>273641145</v>
      </c>
      <c r="E24" s="344">
        <f>D24/D25*100</f>
        <v>3.6198037121763802</v>
      </c>
      <c r="F24" s="358">
        <v>363685000</v>
      </c>
      <c r="G24" s="344">
        <f>F24/F25*100</f>
        <v>4.0904681974069161</v>
      </c>
      <c r="H24" s="358">
        <v>363685000</v>
      </c>
      <c r="I24" s="344">
        <f>H24/H25*100</f>
        <v>4.0904681974069161</v>
      </c>
      <c r="J24" s="358">
        <f t="shared" si="1"/>
        <v>0</v>
      </c>
      <c r="K24" s="358">
        <v>87900699</v>
      </c>
      <c r="L24" s="344">
        <f>K24/K25*100</f>
        <v>3.5653127542413587</v>
      </c>
      <c r="M24" s="358">
        <f t="shared" si="0"/>
        <v>275784301</v>
      </c>
      <c r="N24" s="359">
        <f t="shared" si="2"/>
        <v>24.169459559783878</v>
      </c>
    </row>
    <row r="25" spans="2:14">
      <c r="B25" s="281"/>
      <c r="C25" s="282" t="s">
        <v>121</v>
      </c>
      <c r="D25" s="213">
        <f>D18+D19+D20+D24</f>
        <v>7559557555</v>
      </c>
      <c r="E25" s="283">
        <f>D25/D35*100</f>
        <v>78.503920343310824</v>
      </c>
      <c r="F25" s="213">
        <f>F18+F19+F20+F24</f>
        <v>8891036000</v>
      </c>
      <c r="G25" s="283">
        <f>F25/F35*100</f>
        <v>79.693517772900123</v>
      </c>
      <c r="H25" s="213">
        <f>H18+H19+H20+H24</f>
        <v>8891036000</v>
      </c>
      <c r="I25" s="283">
        <f>H25/H35*100</f>
        <v>79.693517772900123</v>
      </c>
      <c r="J25" s="213">
        <f>J18+J19+J20+J24</f>
        <v>0</v>
      </c>
      <c r="K25" s="213">
        <f>K18+K19+K20+K24</f>
        <v>2465441465</v>
      </c>
      <c r="L25" s="283">
        <f>K25/K35*100</f>
        <v>98.482872616341481</v>
      </c>
      <c r="M25" s="213">
        <f>M18+M19+M20+M24</f>
        <v>6425594535</v>
      </c>
      <c r="N25" s="213">
        <f t="shared" si="2"/>
        <v>27.729518416076598</v>
      </c>
    </row>
    <row r="26" spans="2:14">
      <c r="B26" s="210" t="s">
        <v>49</v>
      </c>
      <c r="C26" s="211" t="s">
        <v>50</v>
      </c>
      <c r="D26" s="209"/>
      <c r="E26" s="212">
        <f>D26/D28*100</f>
        <v>0</v>
      </c>
      <c r="F26" s="209"/>
      <c r="G26" s="212">
        <f>F26/F28*100</f>
        <v>0</v>
      </c>
      <c r="H26" s="209"/>
      <c r="I26" s="212">
        <f>H26/H28*100</f>
        <v>0</v>
      </c>
      <c r="J26" s="209">
        <f t="shared" si="1"/>
        <v>0</v>
      </c>
      <c r="K26" s="209"/>
      <c r="L26" s="212">
        <f>K26/K28*100</f>
        <v>0</v>
      </c>
      <c r="M26" s="209">
        <f>H26-K26</f>
        <v>0</v>
      </c>
      <c r="N26" s="212" t="e">
        <f>K26/H26*100</f>
        <v>#DIV/0!</v>
      </c>
    </row>
    <row r="27" spans="2:14">
      <c r="B27" s="210" t="s">
        <v>51</v>
      </c>
      <c r="C27" s="211" t="s">
        <v>52</v>
      </c>
      <c r="D27" s="209"/>
      <c r="E27" s="212">
        <f>D27/D28*100</f>
        <v>0</v>
      </c>
      <c r="F27" s="209">
        <v>2265500000</v>
      </c>
      <c r="G27" s="212">
        <f>F27/F28*100</f>
        <v>100</v>
      </c>
      <c r="H27" s="209">
        <v>2265500000</v>
      </c>
      <c r="I27" s="212">
        <f>H27/H28*100</f>
        <v>100</v>
      </c>
      <c r="J27" s="209">
        <f t="shared" si="1"/>
        <v>0</v>
      </c>
      <c r="K27" s="209">
        <v>37980094</v>
      </c>
      <c r="L27" s="212">
        <f>K27/K28*100</f>
        <v>100</v>
      </c>
      <c r="M27" s="209">
        <f>H27-K27</f>
        <v>2227519906</v>
      </c>
      <c r="N27" s="359">
        <f t="shared" si="2"/>
        <v>1.6764552637386891</v>
      </c>
    </row>
    <row r="28" spans="2:14">
      <c r="B28" s="281"/>
      <c r="C28" s="282" t="s">
        <v>122</v>
      </c>
      <c r="D28" s="213">
        <f>D29+D30</f>
        <v>2069971164</v>
      </c>
      <c r="E28" s="213">
        <f>D28/D35*100</f>
        <v>21.496079656689169</v>
      </c>
      <c r="F28" s="213">
        <f>F26+F27</f>
        <v>2265500000</v>
      </c>
      <c r="G28" s="213">
        <f>F28/F35*100</f>
        <v>20.306482227099881</v>
      </c>
      <c r="H28" s="213">
        <f>H26+H27</f>
        <v>2265500000</v>
      </c>
      <c r="I28" s="213">
        <f>H28/H35*100</f>
        <v>20.306482227099881</v>
      </c>
      <c r="J28" s="213">
        <f>J29+J30</f>
        <v>0</v>
      </c>
      <c r="K28" s="213">
        <f>K26+K27</f>
        <v>37980094</v>
      </c>
      <c r="L28" s="213">
        <f>K28/K35*100</f>
        <v>1.5171273836585186</v>
      </c>
      <c r="M28" s="213">
        <f>SUM(M26:M27)</f>
        <v>2227519906</v>
      </c>
      <c r="N28" s="359">
        <f t="shared" si="2"/>
        <v>1.6764552637386891</v>
      </c>
    </row>
    <row r="29" spans="2:14">
      <c r="B29" s="210" t="s">
        <v>49</v>
      </c>
      <c r="C29" s="211" t="s">
        <v>50</v>
      </c>
      <c r="D29" s="209">
        <v>126768609</v>
      </c>
      <c r="E29" s="214" t="e">
        <f>D29/D32*100</f>
        <v>#DIV/0!</v>
      </c>
      <c r="F29" s="209"/>
      <c r="G29" s="209" t="e">
        <f>F29/F32*100</f>
        <v>#DIV/0!</v>
      </c>
      <c r="H29" s="209">
        <v>0</v>
      </c>
      <c r="I29" s="209">
        <f>H29/H32*100</f>
        <v>0</v>
      </c>
      <c r="J29" s="209">
        <v>0</v>
      </c>
      <c r="K29" s="209">
        <v>0</v>
      </c>
      <c r="L29" s="209">
        <f>K29/K32*100</f>
        <v>0</v>
      </c>
      <c r="M29" s="209">
        <f>H29-K29</f>
        <v>0</v>
      </c>
      <c r="N29" s="216">
        <v>0</v>
      </c>
    </row>
    <row r="30" spans="2:14">
      <c r="B30" s="210" t="s">
        <v>51</v>
      </c>
      <c r="C30" s="211" t="s">
        <v>52</v>
      </c>
      <c r="D30" s="209">
        <v>1943202555</v>
      </c>
      <c r="E30" s="214" t="e">
        <f>D30/D32*100</f>
        <v>#DIV/0!</v>
      </c>
      <c r="F30" s="209"/>
      <c r="G30" s="209">
        <f>F30/F35*100</f>
        <v>0</v>
      </c>
      <c r="H30" s="209"/>
      <c r="I30" s="209">
        <f>H30/H35*100</f>
        <v>0</v>
      </c>
      <c r="J30" s="209">
        <v>0</v>
      </c>
      <c r="K30" s="209">
        <v>0</v>
      </c>
      <c r="L30" s="209">
        <f>K30/K35*100</f>
        <v>0</v>
      </c>
      <c r="M30" s="209">
        <f>H30-K30</f>
        <v>0</v>
      </c>
      <c r="N30" s="216">
        <v>0</v>
      </c>
    </row>
    <row r="31" spans="2:14">
      <c r="B31" s="422"/>
      <c r="C31" s="423" t="s">
        <v>123</v>
      </c>
      <c r="D31" s="424">
        <v>0</v>
      </c>
      <c r="E31" s="424">
        <f>D31/D35*100</f>
        <v>0</v>
      </c>
      <c r="F31" s="424"/>
      <c r="G31" s="424">
        <f>F31/F35*100</f>
        <v>0</v>
      </c>
      <c r="H31" s="424">
        <v>0</v>
      </c>
      <c r="I31" s="424">
        <f>H31/H35*100</f>
        <v>0</v>
      </c>
      <c r="J31" s="424">
        <v>0</v>
      </c>
      <c r="K31" s="424">
        <v>0</v>
      </c>
      <c r="L31" s="424">
        <f>K31/K35*100</f>
        <v>0</v>
      </c>
      <c r="M31" s="424">
        <f>H31-K31</f>
        <v>0</v>
      </c>
      <c r="N31" s="425">
        <v>0</v>
      </c>
    </row>
    <row r="32" spans="2:14">
      <c r="B32" s="210" t="s">
        <v>49</v>
      </c>
      <c r="C32" s="211" t="s">
        <v>50</v>
      </c>
      <c r="D32" s="214"/>
      <c r="E32" s="214">
        <f>D32/D35*100</f>
        <v>0</v>
      </c>
      <c r="F32" s="214"/>
      <c r="G32" s="214">
        <f>F32/F35*100</f>
        <v>0</v>
      </c>
      <c r="H32" s="214">
        <f>H28</f>
        <v>2265500000</v>
      </c>
      <c r="I32" s="214">
        <f>H32/H35*100</f>
        <v>20.306482227099881</v>
      </c>
      <c r="J32" s="209"/>
      <c r="K32" s="214">
        <f>K28</f>
        <v>37980094</v>
      </c>
      <c r="L32" s="214">
        <f>K32/K35*100</f>
        <v>1.5171273836585186</v>
      </c>
      <c r="M32" s="214">
        <f>H32-K32</f>
        <v>2227519906</v>
      </c>
      <c r="N32" s="628">
        <f>K32/H32*100</f>
        <v>1.6764552637386891</v>
      </c>
    </row>
    <row r="33" spans="2:14">
      <c r="B33" s="210" t="s">
        <v>51</v>
      </c>
      <c r="C33" s="211" t="s">
        <v>52</v>
      </c>
      <c r="D33" s="214"/>
      <c r="E33" s="214"/>
      <c r="F33" s="214"/>
      <c r="G33" s="214"/>
      <c r="H33" s="214"/>
      <c r="I33" s="214"/>
      <c r="J33" s="209"/>
      <c r="K33" s="214"/>
      <c r="L33" s="214"/>
      <c r="M33" s="214"/>
      <c r="N33" s="426"/>
    </row>
    <row r="34" spans="2:14">
      <c r="B34" s="210"/>
      <c r="C34" s="286" t="s">
        <v>124</v>
      </c>
      <c r="D34" s="214">
        <f>D28+D31</f>
        <v>2069971164</v>
      </c>
      <c r="E34" s="214">
        <f>D34/D35*100</f>
        <v>21.496079656689169</v>
      </c>
      <c r="F34" s="214">
        <f>F30+F33</f>
        <v>0</v>
      </c>
      <c r="G34" s="214">
        <f>F34/F35*100</f>
        <v>0</v>
      </c>
      <c r="H34" s="214">
        <f>H30+H33</f>
        <v>0</v>
      </c>
      <c r="I34" s="214">
        <f>H34/H35*100</f>
        <v>0</v>
      </c>
      <c r="J34" s="209">
        <f>J30+J33</f>
        <v>0</v>
      </c>
      <c r="K34" s="214">
        <f>K30+K33</f>
        <v>0</v>
      </c>
      <c r="L34" s="214">
        <f>K34/K35*100</f>
        <v>0</v>
      </c>
      <c r="M34" s="214">
        <f>M30+M33</f>
        <v>0</v>
      </c>
      <c r="N34" s="214" t="e">
        <f>K34/H34*100</f>
        <v>#DIV/0!</v>
      </c>
    </row>
    <row r="35" spans="2:14" ht="14.25" customHeight="1">
      <c r="B35" s="281"/>
      <c r="C35" s="282" t="s">
        <v>125</v>
      </c>
      <c r="D35" s="213">
        <f>D25+D28+D31</f>
        <v>9629528719</v>
      </c>
      <c r="E35" s="213">
        <f>E25+E28</f>
        <v>100</v>
      </c>
      <c r="F35" s="213">
        <f>F25+F28+F31</f>
        <v>11156536000</v>
      </c>
      <c r="G35" s="213">
        <f>G25+G28</f>
        <v>100</v>
      </c>
      <c r="H35" s="213">
        <f>H32+H25</f>
        <v>11156536000</v>
      </c>
      <c r="I35" s="213">
        <f>I25+I28</f>
        <v>100</v>
      </c>
      <c r="J35" s="213">
        <f>J32+J25</f>
        <v>0</v>
      </c>
      <c r="K35" s="213">
        <f>K32+K25</f>
        <v>2503421559</v>
      </c>
      <c r="L35" s="213">
        <f>L25+L28</f>
        <v>100</v>
      </c>
      <c r="M35" s="213">
        <f>M32+M25</f>
        <v>8653114441</v>
      </c>
      <c r="N35" s="619">
        <f>K35/H35*100</f>
        <v>22.439057777431991</v>
      </c>
    </row>
    <row r="36" spans="2:14">
      <c r="B36" s="360"/>
      <c r="C36" s="361" t="s">
        <v>126</v>
      </c>
      <c r="D36" s="350">
        <v>0</v>
      </c>
      <c r="E36" s="350"/>
      <c r="F36" s="350"/>
      <c r="G36" s="350"/>
      <c r="H36" s="350"/>
      <c r="I36" s="350"/>
      <c r="J36" s="350"/>
      <c r="K36" s="350">
        <v>0</v>
      </c>
      <c r="L36" s="350"/>
      <c r="M36" s="348">
        <f>H36-K36</f>
        <v>0</v>
      </c>
      <c r="N36" s="362"/>
    </row>
    <row r="37" spans="2:14">
      <c r="B37" s="360"/>
      <c r="C37" s="361" t="s">
        <v>127</v>
      </c>
      <c r="D37" s="350">
        <v>0</v>
      </c>
      <c r="E37" s="350"/>
      <c r="F37" s="350"/>
      <c r="G37" s="350"/>
      <c r="H37" s="350"/>
      <c r="I37" s="350"/>
      <c r="J37" s="350"/>
      <c r="K37" s="350">
        <v>0</v>
      </c>
      <c r="L37" s="350"/>
      <c r="M37" s="348">
        <f>H37-K37</f>
        <v>0</v>
      </c>
      <c r="N37" s="362"/>
    </row>
    <row r="38" spans="2:14">
      <c r="B38" s="360"/>
      <c r="C38" s="361" t="s">
        <v>128</v>
      </c>
      <c r="D38" s="350">
        <v>9629528719</v>
      </c>
      <c r="E38" s="350">
        <v>100</v>
      </c>
      <c r="F38" s="350">
        <v>11156536000</v>
      </c>
      <c r="G38" s="350"/>
      <c r="H38" s="350">
        <v>11156536000</v>
      </c>
      <c r="I38" s="350">
        <v>100</v>
      </c>
      <c r="J38" s="350">
        <v>0</v>
      </c>
      <c r="K38" s="350">
        <v>2503421559</v>
      </c>
      <c r="L38" s="350">
        <v>100</v>
      </c>
      <c r="M38" s="350">
        <v>8653114441</v>
      </c>
      <c r="N38" s="619">
        <v>22.439057777431991</v>
      </c>
    </row>
    <row r="39" spans="2:14" s="42" customFormat="1"/>
    <row r="40" spans="2:14" s="42" customFormat="1"/>
  </sheetData>
  <mergeCells count="20">
    <mergeCell ref="B2:N2"/>
    <mergeCell ref="B3:N3"/>
    <mergeCell ref="B4:N4"/>
    <mergeCell ref="B9:B10"/>
    <mergeCell ref="C9:E10"/>
    <mergeCell ref="F9:G10"/>
    <mergeCell ref="H9:N10"/>
    <mergeCell ref="C7:O7"/>
    <mergeCell ref="C8:O8"/>
    <mergeCell ref="B16:C16"/>
    <mergeCell ref="C11:D11"/>
    <mergeCell ref="F11:G11"/>
    <mergeCell ref="H11:N11"/>
    <mergeCell ref="B12:C15"/>
    <mergeCell ref="D12:N12"/>
    <mergeCell ref="F13:G13"/>
    <mergeCell ref="H13:I13"/>
    <mergeCell ref="K13:L13"/>
    <mergeCell ref="M13:M14"/>
    <mergeCell ref="N13:N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59999389629810485"/>
  </sheetPr>
  <dimension ref="A1:S30"/>
  <sheetViews>
    <sheetView workbookViewId="0">
      <selection activeCell="E16" sqref="E16"/>
    </sheetView>
  </sheetViews>
  <sheetFormatPr defaultRowHeight="15"/>
  <cols>
    <col min="1" max="1" width="3.28515625" style="42" customWidth="1"/>
    <col min="2" max="2" width="11.85546875" style="42" customWidth="1"/>
    <col min="3" max="3" width="30.140625" style="42" customWidth="1"/>
    <col min="4" max="4" width="16.28515625" style="42" customWidth="1"/>
    <col min="5" max="5" width="8.7109375" style="42" customWidth="1"/>
    <col min="6" max="6" width="12.85546875" style="42" customWidth="1"/>
    <col min="7" max="7" width="9" style="42" customWidth="1"/>
    <col min="8" max="8" width="14.140625" style="42" customWidth="1"/>
    <col min="9" max="9" width="6.42578125" style="42" customWidth="1"/>
    <col min="10" max="10" width="12.140625" style="42" customWidth="1"/>
    <col min="11" max="11" width="16.28515625" style="42" customWidth="1"/>
    <col min="12" max="12" width="8.140625" style="42" customWidth="1"/>
    <col min="13" max="13" width="15" style="42" customWidth="1"/>
    <col min="14" max="14" width="8.5703125" style="438" customWidth="1"/>
    <col min="15" max="15" width="0" style="42" hidden="1" customWidth="1"/>
    <col min="16" max="16" width="16.28515625" style="42" hidden="1" customWidth="1"/>
    <col min="17" max="17" width="8.140625" style="42" hidden="1" customWidth="1"/>
    <col min="18" max="19" width="9.140625" style="42" hidden="1" customWidth="1"/>
    <col min="20" max="247" width="9.140625" style="42"/>
    <col min="248" max="248" width="3.28515625" style="42" customWidth="1"/>
    <col min="249" max="249" width="11.85546875" style="42" customWidth="1"/>
    <col min="250" max="250" width="26.7109375" style="42" customWidth="1"/>
    <col min="251" max="251" width="16.28515625" style="42" customWidth="1"/>
    <col min="252" max="252" width="8.7109375" style="42" customWidth="1"/>
    <col min="253" max="253" width="12.85546875" style="42" customWidth="1"/>
    <col min="254" max="254" width="6.85546875" style="42" customWidth="1"/>
    <col min="255" max="255" width="14.140625" style="42" customWidth="1"/>
    <col min="256" max="256" width="6.42578125" style="42" customWidth="1"/>
    <col min="257" max="257" width="11.42578125" style="42" customWidth="1"/>
    <col min="258" max="258" width="16.28515625" style="42" customWidth="1"/>
    <col min="259" max="259" width="8.140625" style="42" customWidth="1"/>
    <col min="260" max="260" width="15" style="42" customWidth="1"/>
    <col min="261" max="261" width="8.5703125" style="42" customWidth="1"/>
    <col min="262" max="262" width="9.140625" style="42"/>
    <col min="263" max="263" width="10" style="42" bestFit="1" customWidth="1"/>
    <col min="264" max="503" width="9.140625" style="42"/>
    <col min="504" max="504" width="3.28515625" style="42" customWidth="1"/>
    <col min="505" max="505" width="11.85546875" style="42" customWidth="1"/>
    <col min="506" max="506" width="26.7109375" style="42" customWidth="1"/>
    <col min="507" max="507" width="16.28515625" style="42" customWidth="1"/>
    <col min="508" max="508" width="8.7109375" style="42" customWidth="1"/>
    <col min="509" max="509" width="12.85546875" style="42" customWidth="1"/>
    <col min="510" max="510" width="6.85546875" style="42" customWidth="1"/>
    <col min="511" max="511" width="14.140625" style="42" customWidth="1"/>
    <col min="512" max="512" width="6.42578125" style="42" customWidth="1"/>
    <col min="513" max="513" width="11.42578125" style="42" customWidth="1"/>
    <col min="514" max="514" width="16.28515625" style="42" customWidth="1"/>
    <col min="515" max="515" width="8.140625" style="42" customWidth="1"/>
    <col min="516" max="516" width="15" style="42" customWidth="1"/>
    <col min="517" max="517" width="8.5703125" style="42" customWidth="1"/>
    <col min="518" max="518" width="9.140625" style="42"/>
    <col min="519" max="519" width="10" style="42" bestFit="1" customWidth="1"/>
    <col min="520" max="759" width="9.140625" style="42"/>
    <col min="760" max="760" width="3.28515625" style="42" customWidth="1"/>
    <col min="761" max="761" width="11.85546875" style="42" customWidth="1"/>
    <col min="762" max="762" width="26.7109375" style="42" customWidth="1"/>
    <col min="763" max="763" width="16.28515625" style="42" customWidth="1"/>
    <col min="764" max="764" width="8.7109375" style="42" customWidth="1"/>
    <col min="765" max="765" width="12.85546875" style="42" customWidth="1"/>
    <col min="766" max="766" width="6.85546875" style="42" customWidth="1"/>
    <col min="767" max="767" width="14.140625" style="42" customWidth="1"/>
    <col min="768" max="768" width="6.42578125" style="42" customWidth="1"/>
    <col min="769" max="769" width="11.42578125" style="42" customWidth="1"/>
    <col min="770" max="770" width="16.28515625" style="42" customWidth="1"/>
    <col min="771" max="771" width="8.140625" style="42" customWidth="1"/>
    <col min="772" max="772" width="15" style="42" customWidth="1"/>
    <col min="773" max="773" width="8.5703125" style="42" customWidth="1"/>
    <col min="774" max="774" width="9.140625" style="42"/>
    <col min="775" max="775" width="10" style="42" bestFit="1" customWidth="1"/>
    <col min="776" max="1015" width="9.140625" style="42"/>
    <col min="1016" max="1016" width="3.28515625" style="42" customWidth="1"/>
    <col min="1017" max="1017" width="11.85546875" style="42" customWidth="1"/>
    <col min="1018" max="1018" width="26.7109375" style="42" customWidth="1"/>
    <col min="1019" max="1019" width="16.28515625" style="42" customWidth="1"/>
    <col min="1020" max="1020" width="8.7109375" style="42" customWidth="1"/>
    <col min="1021" max="1021" width="12.85546875" style="42" customWidth="1"/>
    <col min="1022" max="1022" width="6.85546875" style="42" customWidth="1"/>
    <col min="1023" max="1023" width="14.140625" style="42" customWidth="1"/>
    <col min="1024" max="1024" width="6.42578125" style="42" customWidth="1"/>
    <col min="1025" max="1025" width="11.42578125" style="42" customWidth="1"/>
    <col min="1026" max="1026" width="16.28515625" style="42" customWidth="1"/>
    <col min="1027" max="1027" width="8.140625" style="42" customWidth="1"/>
    <col min="1028" max="1028" width="15" style="42" customWidth="1"/>
    <col min="1029" max="1029" width="8.5703125" style="42" customWidth="1"/>
    <col min="1030" max="1030" width="9.140625" style="42"/>
    <col min="1031" max="1031" width="10" style="42" bestFit="1" customWidth="1"/>
    <col min="1032" max="1271" width="9.140625" style="42"/>
    <col min="1272" max="1272" width="3.28515625" style="42" customWidth="1"/>
    <col min="1273" max="1273" width="11.85546875" style="42" customWidth="1"/>
    <col min="1274" max="1274" width="26.7109375" style="42" customWidth="1"/>
    <col min="1275" max="1275" width="16.28515625" style="42" customWidth="1"/>
    <col min="1276" max="1276" width="8.7109375" style="42" customWidth="1"/>
    <col min="1277" max="1277" width="12.85546875" style="42" customWidth="1"/>
    <col min="1278" max="1278" width="6.85546875" style="42" customWidth="1"/>
    <col min="1279" max="1279" width="14.140625" style="42" customWidth="1"/>
    <col min="1280" max="1280" width="6.42578125" style="42" customWidth="1"/>
    <col min="1281" max="1281" width="11.42578125" style="42" customWidth="1"/>
    <col min="1282" max="1282" width="16.28515625" style="42" customWidth="1"/>
    <col min="1283" max="1283" width="8.140625" style="42" customWidth="1"/>
    <col min="1284" max="1284" width="15" style="42" customWidth="1"/>
    <col min="1285" max="1285" width="8.5703125" style="42" customWidth="1"/>
    <col min="1286" max="1286" width="9.140625" style="42"/>
    <col min="1287" max="1287" width="10" style="42" bestFit="1" customWidth="1"/>
    <col min="1288" max="1527" width="9.140625" style="42"/>
    <col min="1528" max="1528" width="3.28515625" style="42" customWidth="1"/>
    <col min="1529" max="1529" width="11.85546875" style="42" customWidth="1"/>
    <col min="1530" max="1530" width="26.7109375" style="42" customWidth="1"/>
    <col min="1531" max="1531" width="16.28515625" style="42" customWidth="1"/>
    <col min="1532" max="1532" width="8.7109375" style="42" customWidth="1"/>
    <col min="1533" max="1533" width="12.85546875" style="42" customWidth="1"/>
    <col min="1534" max="1534" width="6.85546875" style="42" customWidth="1"/>
    <col min="1535" max="1535" width="14.140625" style="42" customWidth="1"/>
    <col min="1536" max="1536" width="6.42578125" style="42" customWidth="1"/>
    <col min="1537" max="1537" width="11.42578125" style="42" customWidth="1"/>
    <col min="1538" max="1538" width="16.28515625" style="42" customWidth="1"/>
    <col min="1539" max="1539" width="8.140625" style="42" customWidth="1"/>
    <col min="1540" max="1540" width="15" style="42" customWidth="1"/>
    <col min="1541" max="1541" width="8.5703125" style="42" customWidth="1"/>
    <col min="1542" max="1542" width="9.140625" style="42"/>
    <col min="1543" max="1543" width="10" style="42" bestFit="1" customWidth="1"/>
    <col min="1544" max="1783" width="9.140625" style="42"/>
    <col min="1784" max="1784" width="3.28515625" style="42" customWidth="1"/>
    <col min="1785" max="1785" width="11.85546875" style="42" customWidth="1"/>
    <col min="1786" max="1786" width="26.7109375" style="42" customWidth="1"/>
    <col min="1787" max="1787" width="16.28515625" style="42" customWidth="1"/>
    <col min="1788" max="1788" width="8.7109375" style="42" customWidth="1"/>
    <col min="1789" max="1789" width="12.85546875" style="42" customWidth="1"/>
    <col min="1790" max="1790" width="6.85546875" style="42" customWidth="1"/>
    <col min="1791" max="1791" width="14.140625" style="42" customWidth="1"/>
    <col min="1792" max="1792" width="6.42578125" style="42" customWidth="1"/>
    <col min="1793" max="1793" width="11.42578125" style="42" customWidth="1"/>
    <col min="1794" max="1794" width="16.28515625" style="42" customWidth="1"/>
    <col min="1795" max="1795" width="8.140625" style="42" customWidth="1"/>
    <col min="1796" max="1796" width="15" style="42" customWidth="1"/>
    <col min="1797" max="1797" width="8.5703125" style="42" customWidth="1"/>
    <col min="1798" max="1798" width="9.140625" style="42"/>
    <col min="1799" max="1799" width="10" style="42" bestFit="1" customWidth="1"/>
    <col min="1800" max="2039" width="9.140625" style="42"/>
    <col min="2040" max="2040" width="3.28515625" style="42" customWidth="1"/>
    <col min="2041" max="2041" width="11.85546875" style="42" customWidth="1"/>
    <col min="2042" max="2042" width="26.7109375" style="42" customWidth="1"/>
    <col min="2043" max="2043" width="16.28515625" style="42" customWidth="1"/>
    <col min="2044" max="2044" width="8.7109375" style="42" customWidth="1"/>
    <col min="2045" max="2045" width="12.85546875" style="42" customWidth="1"/>
    <col min="2046" max="2046" width="6.85546875" style="42" customWidth="1"/>
    <col min="2047" max="2047" width="14.140625" style="42" customWidth="1"/>
    <col min="2048" max="2048" width="6.42578125" style="42" customWidth="1"/>
    <col min="2049" max="2049" width="11.42578125" style="42" customWidth="1"/>
    <col min="2050" max="2050" width="16.28515625" style="42" customWidth="1"/>
    <col min="2051" max="2051" width="8.140625" style="42" customWidth="1"/>
    <col min="2052" max="2052" width="15" style="42" customWidth="1"/>
    <col min="2053" max="2053" width="8.5703125" style="42" customWidth="1"/>
    <col min="2054" max="2054" width="9.140625" style="42"/>
    <col min="2055" max="2055" width="10" style="42" bestFit="1" customWidth="1"/>
    <col min="2056" max="2295" width="9.140625" style="42"/>
    <col min="2296" max="2296" width="3.28515625" style="42" customWidth="1"/>
    <col min="2297" max="2297" width="11.85546875" style="42" customWidth="1"/>
    <col min="2298" max="2298" width="26.7109375" style="42" customWidth="1"/>
    <col min="2299" max="2299" width="16.28515625" style="42" customWidth="1"/>
    <col min="2300" max="2300" width="8.7109375" style="42" customWidth="1"/>
    <col min="2301" max="2301" width="12.85546875" style="42" customWidth="1"/>
    <col min="2302" max="2302" width="6.85546875" style="42" customWidth="1"/>
    <col min="2303" max="2303" width="14.140625" style="42" customWidth="1"/>
    <col min="2304" max="2304" width="6.42578125" style="42" customWidth="1"/>
    <col min="2305" max="2305" width="11.42578125" style="42" customWidth="1"/>
    <col min="2306" max="2306" width="16.28515625" style="42" customWidth="1"/>
    <col min="2307" max="2307" width="8.140625" style="42" customWidth="1"/>
    <col min="2308" max="2308" width="15" style="42" customWidth="1"/>
    <col min="2309" max="2309" width="8.5703125" style="42" customWidth="1"/>
    <col min="2310" max="2310" width="9.140625" style="42"/>
    <col min="2311" max="2311" width="10" style="42" bestFit="1" customWidth="1"/>
    <col min="2312" max="2551" width="9.140625" style="42"/>
    <col min="2552" max="2552" width="3.28515625" style="42" customWidth="1"/>
    <col min="2553" max="2553" width="11.85546875" style="42" customWidth="1"/>
    <col min="2554" max="2554" width="26.7109375" style="42" customWidth="1"/>
    <col min="2555" max="2555" width="16.28515625" style="42" customWidth="1"/>
    <col min="2556" max="2556" width="8.7109375" style="42" customWidth="1"/>
    <col min="2557" max="2557" width="12.85546875" style="42" customWidth="1"/>
    <col min="2558" max="2558" width="6.85546875" style="42" customWidth="1"/>
    <col min="2559" max="2559" width="14.140625" style="42" customWidth="1"/>
    <col min="2560" max="2560" width="6.42578125" style="42" customWidth="1"/>
    <col min="2561" max="2561" width="11.42578125" style="42" customWidth="1"/>
    <col min="2562" max="2562" width="16.28515625" style="42" customWidth="1"/>
    <col min="2563" max="2563" width="8.140625" style="42" customWidth="1"/>
    <col min="2564" max="2564" width="15" style="42" customWidth="1"/>
    <col min="2565" max="2565" width="8.5703125" style="42" customWidth="1"/>
    <col min="2566" max="2566" width="9.140625" style="42"/>
    <col min="2567" max="2567" width="10" style="42" bestFit="1" customWidth="1"/>
    <col min="2568" max="2807" width="9.140625" style="42"/>
    <col min="2808" max="2808" width="3.28515625" style="42" customWidth="1"/>
    <col min="2809" max="2809" width="11.85546875" style="42" customWidth="1"/>
    <col min="2810" max="2810" width="26.7109375" style="42" customWidth="1"/>
    <col min="2811" max="2811" width="16.28515625" style="42" customWidth="1"/>
    <col min="2812" max="2812" width="8.7109375" style="42" customWidth="1"/>
    <col min="2813" max="2813" width="12.85546875" style="42" customWidth="1"/>
    <col min="2814" max="2814" width="6.85546875" style="42" customWidth="1"/>
    <col min="2815" max="2815" width="14.140625" style="42" customWidth="1"/>
    <col min="2816" max="2816" width="6.42578125" style="42" customWidth="1"/>
    <col min="2817" max="2817" width="11.42578125" style="42" customWidth="1"/>
    <col min="2818" max="2818" width="16.28515625" style="42" customWidth="1"/>
    <col min="2819" max="2819" width="8.140625" style="42" customWidth="1"/>
    <col min="2820" max="2820" width="15" style="42" customWidth="1"/>
    <col min="2821" max="2821" width="8.5703125" style="42" customWidth="1"/>
    <col min="2822" max="2822" width="9.140625" style="42"/>
    <col min="2823" max="2823" width="10" style="42" bestFit="1" customWidth="1"/>
    <col min="2824" max="3063" width="9.140625" style="42"/>
    <col min="3064" max="3064" width="3.28515625" style="42" customWidth="1"/>
    <col min="3065" max="3065" width="11.85546875" style="42" customWidth="1"/>
    <col min="3066" max="3066" width="26.7109375" style="42" customWidth="1"/>
    <col min="3067" max="3067" width="16.28515625" style="42" customWidth="1"/>
    <col min="3068" max="3068" width="8.7109375" style="42" customWidth="1"/>
    <col min="3069" max="3069" width="12.85546875" style="42" customWidth="1"/>
    <col min="3070" max="3070" width="6.85546875" style="42" customWidth="1"/>
    <col min="3071" max="3071" width="14.140625" style="42" customWidth="1"/>
    <col min="3072" max="3072" width="6.42578125" style="42" customWidth="1"/>
    <col min="3073" max="3073" width="11.42578125" style="42" customWidth="1"/>
    <col min="3074" max="3074" width="16.28515625" style="42" customWidth="1"/>
    <col min="3075" max="3075" width="8.140625" style="42" customWidth="1"/>
    <col min="3076" max="3076" width="15" style="42" customWidth="1"/>
    <col min="3077" max="3077" width="8.5703125" style="42" customWidth="1"/>
    <col min="3078" max="3078" width="9.140625" style="42"/>
    <col min="3079" max="3079" width="10" style="42" bestFit="1" customWidth="1"/>
    <col min="3080" max="3319" width="9.140625" style="42"/>
    <col min="3320" max="3320" width="3.28515625" style="42" customWidth="1"/>
    <col min="3321" max="3321" width="11.85546875" style="42" customWidth="1"/>
    <col min="3322" max="3322" width="26.7109375" style="42" customWidth="1"/>
    <col min="3323" max="3323" width="16.28515625" style="42" customWidth="1"/>
    <col min="3324" max="3324" width="8.7109375" style="42" customWidth="1"/>
    <col min="3325" max="3325" width="12.85546875" style="42" customWidth="1"/>
    <col min="3326" max="3326" width="6.85546875" style="42" customWidth="1"/>
    <col min="3327" max="3327" width="14.140625" style="42" customWidth="1"/>
    <col min="3328" max="3328" width="6.42578125" style="42" customWidth="1"/>
    <col min="3329" max="3329" width="11.42578125" style="42" customWidth="1"/>
    <col min="3330" max="3330" width="16.28515625" style="42" customWidth="1"/>
    <col min="3331" max="3331" width="8.140625" style="42" customWidth="1"/>
    <col min="3332" max="3332" width="15" style="42" customWidth="1"/>
    <col min="3333" max="3333" width="8.5703125" style="42" customWidth="1"/>
    <col min="3334" max="3334" width="9.140625" style="42"/>
    <col min="3335" max="3335" width="10" style="42" bestFit="1" customWidth="1"/>
    <col min="3336" max="3575" width="9.140625" style="42"/>
    <col min="3576" max="3576" width="3.28515625" style="42" customWidth="1"/>
    <col min="3577" max="3577" width="11.85546875" style="42" customWidth="1"/>
    <col min="3578" max="3578" width="26.7109375" style="42" customWidth="1"/>
    <col min="3579" max="3579" width="16.28515625" style="42" customWidth="1"/>
    <col min="3580" max="3580" width="8.7109375" style="42" customWidth="1"/>
    <col min="3581" max="3581" width="12.85546875" style="42" customWidth="1"/>
    <col min="3582" max="3582" width="6.85546875" style="42" customWidth="1"/>
    <col min="3583" max="3583" width="14.140625" style="42" customWidth="1"/>
    <col min="3584" max="3584" width="6.42578125" style="42" customWidth="1"/>
    <col min="3585" max="3585" width="11.42578125" style="42" customWidth="1"/>
    <col min="3586" max="3586" width="16.28515625" style="42" customWidth="1"/>
    <col min="3587" max="3587" width="8.140625" style="42" customWidth="1"/>
    <col min="3588" max="3588" width="15" style="42" customWidth="1"/>
    <col min="3589" max="3589" width="8.5703125" style="42" customWidth="1"/>
    <col min="3590" max="3590" width="9.140625" style="42"/>
    <col min="3591" max="3591" width="10" style="42" bestFit="1" customWidth="1"/>
    <col min="3592" max="3831" width="9.140625" style="42"/>
    <col min="3832" max="3832" width="3.28515625" style="42" customWidth="1"/>
    <col min="3833" max="3833" width="11.85546875" style="42" customWidth="1"/>
    <col min="3834" max="3834" width="26.7109375" style="42" customWidth="1"/>
    <col min="3835" max="3835" width="16.28515625" style="42" customWidth="1"/>
    <col min="3836" max="3836" width="8.7109375" style="42" customWidth="1"/>
    <col min="3837" max="3837" width="12.85546875" style="42" customWidth="1"/>
    <col min="3838" max="3838" width="6.85546875" style="42" customWidth="1"/>
    <col min="3839" max="3839" width="14.140625" style="42" customWidth="1"/>
    <col min="3840" max="3840" width="6.42578125" style="42" customWidth="1"/>
    <col min="3841" max="3841" width="11.42578125" style="42" customWidth="1"/>
    <col min="3842" max="3842" width="16.28515625" style="42" customWidth="1"/>
    <col min="3843" max="3843" width="8.140625" style="42" customWidth="1"/>
    <col min="3844" max="3844" width="15" style="42" customWidth="1"/>
    <col min="3845" max="3845" width="8.5703125" style="42" customWidth="1"/>
    <col min="3846" max="3846" width="9.140625" style="42"/>
    <col min="3847" max="3847" width="10" style="42" bestFit="1" customWidth="1"/>
    <col min="3848" max="4087" width="9.140625" style="42"/>
    <col min="4088" max="4088" width="3.28515625" style="42" customWidth="1"/>
    <col min="4089" max="4089" width="11.85546875" style="42" customWidth="1"/>
    <col min="4090" max="4090" width="26.7109375" style="42" customWidth="1"/>
    <col min="4091" max="4091" width="16.28515625" style="42" customWidth="1"/>
    <col min="4092" max="4092" width="8.7109375" style="42" customWidth="1"/>
    <col min="4093" max="4093" width="12.85546875" style="42" customWidth="1"/>
    <col min="4094" max="4094" width="6.85546875" style="42" customWidth="1"/>
    <col min="4095" max="4095" width="14.140625" style="42" customWidth="1"/>
    <col min="4096" max="4096" width="6.42578125" style="42" customWidth="1"/>
    <col min="4097" max="4097" width="11.42578125" style="42" customWidth="1"/>
    <col min="4098" max="4098" width="16.28515625" style="42" customWidth="1"/>
    <col min="4099" max="4099" width="8.140625" style="42" customWidth="1"/>
    <col min="4100" max="4100" width="15" style="42" customWidth="1"/>
    <col min="4101" max="4101" width="8.5703125" style="42" customWidth="1"/>
    <col min="4102" max="4102" width="9.140625" style="42"/>
    <col min="4103" max="4103" width="10" style="42" bestFit="1" customWidth="1"/>
    <col min="4104" max="4343" width="9.140625" style="42"/>
    <col min="4344" max="4344" width="3.28515625" style="42" customWidth="1"/>
    <col min="4345" max="4345" width="11.85546875" style="42" customWidth="1"/>
    <col min="4346" max="4346" width="26.7109375" style="42" customWidth="1"/>
    <col min="4347" max="4347" width="16.28515625" style="42" customWidth="1"/>
    <col min="4348" max="4348" width="8.7109375" style="42" customWidth="1"/>
    <col min="4349" max="4349" width="12.85546875" style="42" customWidth="1"/>
    <col min="4350" max="4350" width="6.85546875" style="42" customWidth="1"/>
    <col min="4351" max="4351" width="14.140625" style="42" customWidth="1"/>
    <col min="4352" max="4352" width="6.42578125" style="42" customWidth="1"/>
    <col min="4353" max="4353" width="11.42578125" style="42" customWidth="1"/>
    <col min="4354" max="4354" width="16.28515625" style="42" customWidth="1"/>
    <col min="4355" max="4355" width="8.140625" style="42" customWidth="1"/>
    <col min="4356" max="4356" width="15" style="42" customWidth="1"/>
    <col min="4357" max="4357" width="8.5703125" style="42" customWidth="1"/>
    <col min="4358" max="4358" width="9.140625" style="42"/>
    <col min="4359" max="4359" width="10" style="42" bestFit="1" customWidth="1"/>
    <col min="4360" max="4599" width="9.140625" style="42"/>
    <col min="4600" max="4600" width="3.28515625" style="42" customWidth="1"/>
    <col min="4601" max="4601" width="11.85546875" style="42" customWidth="1"/>
    <col min="4602" max="4602" width="26.7109375" style="42" customWidth="1"/>
    <col min="4603" max="4603" width="16.28515625" style="42" customWidth="1"/>
    <col min="4604" max="4604" width="8.7109375" style="42" customWidth="1"/>
    <col min="4605" max="4605" width="12.85546875" style="42" customWidth="1"/>
    <col min="4606" max="4606" width="6.85546875" style="42" customWidth="1"/>
    <col min="4607" max="4607" width="14.140625" style="42" customWidth="1"/>
    <col min="4608" max="4608" width="6.42578125" style="42" customWidth="1"/>
    <col min="4609" max="4609" width="11.42578125" style="42" customWidth="1"/>
    <col min="4610" max="4610" width="16.28515625" style="42" customWidth="1"/>
    <col min="4611" max="4611" width="8.140625" style="42" customWidth="1"/>
    <col min="4612" max="4612" width="15" style="42" customWidth="1"/>
    <col min="4613" max="4613" width="8.5703125" style="42" customWidth="1"/>
    <col min="4614" max="4614" width="9.140625" style="42"/>
    <col min="4615" max="4615" width="10" style="42" bestFit="1" customWidth="1"/>
    <col min="4616" max="4855" width="9.140625" style="42"/>
    <col min="4856" max="4856" width="3.28515625" style="42" customWidth="1"/>
    <col min="4857" max="4857" width="11.85546875" style="42" customWidth="1"/>
    <col min="4858" max="4858" width="26.7109375" style="42" customWidth="1"/>
    <col min="4859" max="4859" width="16.28515625" style="42" customWidth="1"/>
    <col min="4860" max="4860" width="8.7109375" style="42" customWidth="1"/>
    <col min="4861" max="4861" width="12.85546875" style="42" customWidth="1"/>
    <col min="4862" max="4862" width="6.85546875" style="42" customWidth="1"/>
    <col min="4863" max="4863" width="14.140625" style="42" customWidth="1"/>
    <col min="4864" max="4864" width="6.42578125" style="42" customWidth="1"/>
    <col min="4865" max="4865" width="11.42578125" style="42" customWidth="1"/>
    <col min="4866" max="4866" width="16.28515625" style="42" customWidth="1"/>
    <col min="4867" max="4867" width="8.140625" style="42" customWidth="1"/>
    <col min="4868" max="4868" width="15" style="42" customWidth="1"/>
    <col min="4869" max="4869" width="8.5703125" style="42" customWidth="1"/>
    <col min="4870" max="4870" width="9.140625" style="42"/>
    <col min="4871" max="4871" width="10" style="42" bestFit="1" customWidth="1"/>
    <col min="4872" max="5111" width="9.140625" style="42"/>
    <col min="5112" max="5112" width="3.28515625" style="42" customWidth="1"/>
    <col min="5113" max="5113" width="11.85546875" style="42" customWidth="1"/>
    <col min="5114" max="5114" width="26.7109375" style="42" customWidth="1"/>
    <col min="5115" max="5115" width="16.28515625" style="42" customWidth="1"/>
    <col min="5116" max="5116" width="8.7109375" style="42" customWidth="1"/>
    <col min="5117" max="5117" width="12.85546875" style="42" customWidth="1"/>
    <col min="5118" max="5118" width="6.85546875" style="42" customWidth="1"/>
    <col min="5119" max="5119" width="14.140625" style="42" customWidth="1"/>
    <col min="5120" max="5120" width="6.42578125" style="42" customWidth="1"/>
    <col min="5121" max="5121" width="11.42578125" style="42" customWidth="1"/>
    <col min="5122" max="5122" width="16.28515625" style="42" customWidth="1"/>
    <col min="5123" max="5123" width="8.140625" style="42" customWidth="1"/>
    <col min="5124" max="5124" width="15" style="42" customWidth="1"/>
    <col min="5125" max="5125" width="8.5703125" style="42" customWidth="1"/>
    <col min="5126" max="5126" width="9.140625" style="42"/>
    <col min="5127" max="5127" width="10" style="42" bestFit="1" customWidth="1"/>
    <col min="5128" max="5367" width="9.140625" style="42"/>
    <col min="5368" max="5368" width="3.28515625" style="42" customWidth="1"/>
    <col min="5369" max="5369" width="11.85546875" style="42" customWidth="1"/>
    <col min="5370" max="5370" width="26.7109375" style="42" customWidth="1"/>
    <col min="5371" max="5371" width="16.28515625" style="42" customWidth="1"/>
    <col min="5372" max="5372" width="8.7109375" style="42" customWidth="1"/>
    <col min="5373" max="5373" width="12.85546875" style="42" customWidth="1"/>
    <col min="5374" max="5374" width="6.85546875" style="42" customWidth="1"/>
    <col min="5375" max="5375" width="14.140625" style="42" customWidth="1"/>
    <col min="5376" max="5376" width="6.42578125" style="42" customWidth="1"/>
    <col min="5377" max="5377" width="11.42578125" style="42" customWidth="1"/>
    <col min="5378" max="5378" width="16.28515625" style="42" customWidth="1"/>
    <col min="5379" max="5379" width="8.140625" style="42" customWidth="1"/>
    <col min="5380" max="5380" width="15" style="42" customWidth="1"/>
    <col min="5381" max="5381" width="8.5703125" style="42" customWidth="1"/>
    <col min="5382" max="5382" width="9.140625" style="42"/>
    <col min="5383" max="5383" width="10" style="42" bestFit="1" customWidth="1"/>
    <col min="5384" max="5623" width="9.140625" style="42"/>
    <col min="5624" max="5624" width="3.28515625" style="42" customWidth="1"/>
    <col min="5625" max="5625" width="11.85546875" style="42" customWidth="1"/>
    <col min="5626" max="5626" width="26.7109375" style="42" customWidth="1"/>
    <col min="5627" max="5627" width="16.28515625" style="42" customWidth="1"/>
    <col min="5628" max="5628" width="8.7109375" style="42" customWidth="1"/>
    <col min="5629" max="5629" width="12.85546875" style="42" customWidth="1"/>
    <col min="5630" max="5630" width="6.85546875" style="42" customWidth="1"/>
    <col min="5631" max="5631" width="14.140625" style="42" customWidth="1"/>
    <col min="5632" max="5632" width="6.42578125" style="42" customWidth="1"/>
    <col min="5633" max="5633" width="11.42578125" style="42" customWidth="1"/>
    <col min="5634" max="5634" width="16.28515625" style="42" customWidth="1"/>
    <col min="5635" max="5635" width="8.140625" style="42" customWidth="1"/>
    <col min="5636" max="5636" width="15" style="42" customWidth="1"/>
    <col min="5637" max="5637" width="8.5703125" style="42" customWidth="1"/>
    <col min="5638" max="5638" width="9.140625" style="42"/>
    <col min="5639" max="5639" width="10" style="42" bestFit="1" customWidth="1"/>
    <col min="5640" max="5879" width="9.140625" style="42"/>
    <col min="5880" max="5880" width="3.28515625" style="42" customWidth="1"/>
    <col min="5881" max="5881" width="11.85546875" style="42" customWidth="1"/>
    <col min="5882" max="5882" width="26.7109375" style="42" customWidth="1"/>
    <col min="5883" max="5883" width="16.28515625" style="42" customWidth="1"/>
    <col min="5884" max="5884" width="8.7109375" style="42" customWidth="1"/>
    <col min="5885" max="5885" width="12.85546875" style="42" customWidth="1"/>
    <col min="5886" max="5886" width="6.85546875" style="42" customWidth="1"/>
    <col min="5887" max="5887" width="14.140625" style="42" customWidth="1"/>
    <col min="5888" max="5888" width="6.42578125" style="42" customWidth="1"/>
    <col min="5889" max="5889" width="11.42578125" style="42" customWidth="1"/>
    <col min="5890" max="5890" width="16.28515625" style="42" customWidth="1"/>
    <col min="5891" max="5891" width="8.140625" style="42" customWidth="1"/>
    <col min="5892" max="5892" width="15" style="42" customWidth="1"/>
    <col min="5893" max="5893" width="8.5703125" style="42" customWidth="1"/>
    <col min="5894" max="5894" width="9.140625" style="42"/>
    <col min="5895" max="5895" width="10" style="42" bestFit="1" customWidth="1"/>
    <col min="5896" max="6135" width="9.140625" style="42"/>
    <col min="6136" max="6136" width="3.28515625" style="42" customWidth="1"/>
    <col min="6137" max="6137" width="11.85546875" style="42" customWidth="1"/>
    <col min="6138" max="6138" width="26.7109375" style="42" customWidth="1"/>
    <col min="6139" max="6139" width="16.28515625" style="42" customWidth="1"/>
    <col min="6140" max="6140" width="8.7109375" style="42" customWidth="1"/>
    <col min="6141" max="6141" width="12.85546875" style="42" customWidth="1"/>
    <col min="6142" max="6142" width="6.85546875" style="42" customWidth="1"/>
    <col min="6143" max="6143" width="14.140625" style="42" customWidth="1"/>
    <col min="6144" max="6144" width="6.42578125" style="42" customWidth="1"/>
    <col min="6145" max="6145" width="11.42578125" style="42" customWidth="1"/>
    <col min="6146" max="6146" width="16.28515625" style="42" customWidth="1"/>
    <col min="6147" max="6147" width="8.140625" style="42" customWidth="1"/>
    <col min="6148" max="6148" width="15" style="42" customWidth="1"/>
    <col min="6149" max="6149" width="8.5703125" style="42" customWidth="1"/>
    <col min="6150" max="6150" width="9.140625" style="42"/>
    <col min="6151" max="6151" width="10" style="42" bestFit="1" customWidth="1"/>
    <col min="6152" max="6391" width="9.140625" style="42"/>
    <col min="6392" max="6392" width="3.28515625" style="42" customWidth="1"/>
    <col min="6393" max="6393" width="11.85546875" style="42" customWidth="1"/>
    <col min="6394" max="6394" width="26.7109375" style="42" customWidth="1"/>
    <col min="6395" max="6395" width="16.28515625" style="42" customWidth="1"/>
    <col min="6396" max="6396" width="8.7109375" style="42" customWidth="1"/>
    <col min="6397" max="6397" width="12.85546875" style="42" customWidth="1"/>
    <col min="6398" max="6398" width="6.85546875" style="42" customWidth="1"/>
    <col min="6399" max="6399" width="14.140625" style="42" customWidth="1"/>
    <col min="6400" max="6400" width="6.42578125" style="42" customWidth="1"/>
    <col min="6401" max="6401" width="11.42578125" style="42" customWidth="1"/>
    <col min="6402" max="6402" width="16.28515625" style="42" customWidth="1"/>
    <col min="6403" max="6403" width="8.140625" style="42" customWidth="1"/>
    <col min="6404" max="6404" width="15" style="42" customWidth="1"/>
    <col min="6405" max="6405" width="8.5703125" style="42" customWidth="1"/>
    <col min="6406" max="6406" width="9.140625" style="42"/>
    <col min="6407" max="6407" width="10" style="42" bestFit="1" customWidth="1"/>
    <col min="6408" max="6647" width="9.140625" style="42"/>
    <col min="6648" max="6648" width="3.28515625" style="42" customWidth="1"/>
    <col min="6649" max="6649" width="11.85546875" style="42" customWidth="1"/>
    <col min="6650" max="6650" width="26.7109375" style="42" customWidth="1"/>
    <col min="6651" max="6651" width="16.28515625" style="42" customWidth="1"/>
    <col min="6652" max="6652" width="8.7109375" style="42" customWidth="1"/>
    <col min="6653" max="6653" width="12.85546875" style="42" customWidth="1"/>
    <col min="6654" max="6654" width="6.85546875" style="42" customWidth="1"/>
    <col min="6655" max="6655" width="14.140625" style="42" customWidth="1"/>
    <col min="6656" max="6656" width="6.42578125" style="42" customWidth="1"/>
    <col min="6657" max="6657" width="11.42578125" style="42" customWidth="1"/>
    <col min="6658" max="6658" width="16.28515625" style="42" customWidth="1"/>
    <col min="6659" max="6659" width="8.140625" style="42" customWidth="1"/>
    <col min="6660" max="6660" width="15" style="42" customWidth="1"/>
    <col min="6661" max="6661" width="8.5703125" style="42" customWidth="1"/>
    <col min="6662" max="6662" width="9.140625" style="42"/>
    <col min="6663" max="6663" width="10" style="42" bestFit="1" customWidth="1"/>
    <col min="6664" max="6903" width="9.140625" style="42"/>
    <col min="6904" max="6904" width="3.28515625" style="42" customWidth="1"/>
    <col min="6905" max="6905" width="11.85546875" style="42" customWidth="1"/>
    <col min="6906" max="6906" width="26.7109375" style="42" customWidth="1"/>
    <col min="6907" max="6907" width="16.28515625" style="42" customWidth="1"/>
    <col min="6908" max="6908" width="8.7109375" style="42" customWidth="1"/>
    <col min="6909" max="6909" width="12.85546875" style="42" customWidth="1"/>
    <col min="6910" max="6910" width="6.85546875" style="42" customWidth="1"/>
    <col min="6911" max="6911" width="14.140625" style="42" customWidth="1"/>
    <col min="6912" max="6912" width="6.42578125" style="42" customWidth="1"/>
    <col min="6913" max="6913" width="11.42578125" style="42" customWidth="1"/>
    <col min="6914" max="6914" width="16.28515625" style="42" customWidth="1"/>
    <col min="6915" max="6915" width="8.140625" style="42" customWidth="1"/>
    <col min="6916" max="6916" width="15" style="42" customWidth="1"/>
    <col min="6917" max="6917" width="8.5703125" style="42" customWidth="1"/>
    <col min="6918" max="6918" width="9.140625" style="42"/>
    <col min="6919" max="6919" width="10" style="42" bestFit="1" customWidth="1"/>
    <col min="6920" max="7159" width="9.140625" style="42"/>
    <col min="7160" max="7160" width="3.28515625" style="42" customWidth="1"/>
    <col min="7161" max="7161" width="11.85546875" style="42" customWidth="1"/>
    <col min="7162" max="7162" width="26.7109375" style="42" customWidth="1"/>
    <col min="7163" max="7163" width="16.28515625" style="42" customWidth="1"/>
    <col min="7164" max="7164" width="8.7109375" style="42" customWidth="1"/>
    <col min="7165" max="7165" width="12.85546875" style="42" customWidth="1"/>
    <col min="7166" max="7166" width="6.85546875" style="42" customWidth="1"/>
    <col min="7167" max="7167" width="14.140625" style="42" customWidth="1"/>
    <col min="7168" max="7168" width="6.42578125" style="42" customWidth="1"/>
    <col min="7169" max="7169" width="11.42578125" style="42" customWidth="1"/>
    <col min="7170" max="7170" width="16.28515625" style="42" customWidth="1"/>
    <col min="7171" max="7171" width="8.140625" style="42" customWidth="1"/>
    <col min="7172" max="7172" width="15" style="42" customWidth="1"/>
    <col min="7173" max="7173" width="8.5703125" style="42" customWidth="1"/>
    <col min="7174" max="7174" width="9.140625" style="42"/>
    <col min="7175" max="7175" width="10" style="42" bestFit="1" customWidth="1"/>
    <col min="7176" max="7415" width="9.140625" style="42"/>
    <col min="7416" max="7416" width="3.28515625" style="42" customWidth="1"/>
    <col min="7417" max="7417" width="11.85546875" style="42" customWidth="1"/>
    <col min="7418" max="7418" width="26.7109375" style="42" customWidth="1"/>
    <col min="7419" max="7419" width="16.28515625" style="42" customWidth="1"/>
    <col min="7420" max="7420" width="8.7109375" style="42" customWidth="1"/>
    <col min="7421" max="7421" width="12.85546875" style="42" customWidth="1"/>
    <col min="7422" max="7422" width="6.85546875" style="42" customWidth="1"/>
    <col min="7423" max="7423" width="14.140625" style="42" customWidth="1"/>
    <col min="7424" max="7424" width="6.42578125" style="42" customWidth="1"/>
    <col min="7425" max="7425" width="11.42578125" style="42" customWidth="1"/>
    <col min="7426" max="7426" width="16.28515625" style="42" customWidth="1"/>
    <col min="7427" max="7427" width="8.140625" style="42" customWidth="1"/>
    <col min="7428" max="7428" width="15" style="42" customWidth="1"/>
    <col min="7429" max="7429" width="8.5703125" style="42" customWidth="1"/>
    <col min="7430" max="7430" width="9.140625" style="42"/>
    <col min="7431" max="7431" width="10" style="42" bestFit="1" customWidth="1"/>
    <col min="7432" max="7671" width="9.140625" style="42"/>
    <col min="7672" max="7672" width="3.28515625" style="42" customWidth="1"/>
    <col min="7673" max="7673" width="11.85546875" style="42" customWidth="1"/>
    <col min="7674" max="7674" width="26.7109375" style="42" customWidth="1"/>
    <col min="7675" max="7675" width="16.28515625" style="42" customWidth="1"/>
    <col min="7676" max="7676" width="8.7109375" style="42" customWidth="1"/>
    <col min="7677" max="7677" width="12.85546875" style="42" customWidth="1"/>
    <col min="7678" max="7678" width="6.85546875" style="42" customWidth="1"/>
    <col min="7679" max="7679" width="14.140625" style="42" customWidth="1"/>
    <col min="7680" max="7680" width="6.42578125" style="42" customWidth="1"/>
    <col min="7681" max="7681" width="11.42578125" style="42" customWidth="1"/>
    <col min="7682" max="7682" width="16.28515625" style="42" customWidth="1"/>
    <col min="7683" max="7683" width="8.140625" style="42" customWidth="1"/>
    <col min="7684" max="7684" width="15" style="42" customWidth="1"/>
    <col min="7685" max="7685" width="8.5703125" style="42" customWidth="1"/>
    <col min="7686" max="7686" width="9.140625" style="42"/>
    <col min="7687" max="7687" width="10" style="42" bestFit="1" customWidth="1"/>
    <col min="7688" max="7927" width="9.140625" style="42"/>
    <col min="7928" max="7928" width="3.28515625" style="42" customWidth="1"/>
    <col min="7929" max="7929" width="11.85546875" style="42" customWidth="1"/>
    <col min="7930" max="7930" width="26.7109375" style="42" customWidth="1"/>
    <col min="7931" max="7931" width="16.28515625" style="42" customWidth="1"/>
    <col min="7932" max="7932" width="8.7109375" style="42" customWidth="1"/>
    <col min="7933" max="7933" width="12.85546875" style="42" customWidth="1"/>
    <col min="7934" max="7934" width="6.85546875" style="42" customWidth="1"/>
    <col min="7935" max="7935" width="14.140625" style="42" customWidth="1"/>
    <col min="7936" max="7936" width="6.42578125" style="42" customWidth="1"/>
    <col min="7937" max="7937" width="11.42578125" style="42" customWidth="1"/>
    <col min="7938" max="7938" width="16.28515625" style="42" customWidth="1"/>
    <col min="7939" max="7939" width="8.140625" style="42" customWidth="1"/>
    <col min="7940" max="7940" width="15" style="42" customWidth="1"/>
    <col min="7941" max="7941" width="8.5703125" style="42" customWidth="1"/>
    <col min="7942" max="7942" width="9.140625" style="42"/>
    <col min="7943" max="7943" width="10" style="42" bestFit="1" customWidth="1"/>
    <col min="7944" max="8183" width="9.140625" style="42"/>
    <col min="8184" max="8184" width="3.28515625" style="42" customWidth="1"/>
    <col min="8185" max="8185" width="11.85546875" style="42" customWidth="1"/>
    <col min="8186" max="8186" width="26.7109375" style="42" customWidth="1"/>
    <col min="8187" max="8187" width="16.28515625" style="42" customWidth="1"/>
    <col min="8188" max="8188" width="8.7109375" style="42" customWidth="1"/>
    <col min="8189" max="8189" width="12.85546875" style="42" customWidth="1"/>
    <col min="8190" max="8190" width="6.85546875" style="42" customWidth="1"/>
    <col min="8191" max="8191" width="14.140625" style="42" customWidth="1"/>
    <col min="8192" max="8192" width="6.42578125" style="42" customWidth="1"/>
    <col min="8193" max="8193" width="11.42578125" style="42" customWidth="1"/>
    <col min="8194" max="8194" width="16.28515625" style="42" customWidth="1"/>
    <col min="8195" max="8195" width="8.140625" style="42" customWidth="1"/>
    <col min="8196" max="8196" width="15" style="42" customWidth="1"/>
    <col min="8197" max="8197" width="8.5703125" style="42" customWidth="1"/>
    <col min="8198" max="8198" width="9.140625" style="42"/>
    <col min="8199" max="8199" width="10" style="42" bestFit="1" customWidth="1"/>
    <col min="8200" max="8439" width="9.140625" style="42"/>
    <col min="8440" max="8440" width="3.28515625" style="42" customWidth="1"/>
    <col min="8441" max="8441" width="11.85546875" style="42" customWidth="1"/>
    <col min="8442" max="8442" width="26.7109375" style="42" customWidth="1"/>
    <col min="8443" max="8443" width="16.28515625" style="42" customWidth="1"/>
    <col min="8444" max="8444" width="8.7109375" style="42" customWidth="1"/>
    <col min="8445" max="8445" width="12.85546875" style="42" customWidth="1"/>
    <col min="8446" max="8446" width="6.85546875" style="42" customWidth="1"/>
    <col min="8447" max="8447" width="14.140625" style="42" customWidth="1"/>
    <col min="8448" max="8448" width="6.42578125" style="42" customWidth="1"/>
    <col min="8449" max="8449" width="11.42578125" style="42" customWidth="1"/>
    <col min="8450" max="8450" width="16.28515625" style="42" customWidth="1"/>
    <col min="8451" max="8451" width="8.140625" style="42" customWidth="1"/>
    <col min="8452" max="8452" width="15" style="42" customWidth="1"/>
    <col min="8453" max="8453" width="8.5703125" style="42" customWidth="1"/>
    <col min="8454" max="8454" width="9.140625" style="42"/>
    <col min="8455" max="8455" width="10" style="42" bestFit="1" customWidth="1"/>
    <col min="8456" max="8695" width="9.140625" style="42"/>
    <col min="8696" max="8696" width="3.28515625" style="42" customWidth="1"/>
    <col min="8697" max="8697" width="11.85546875" style="42" customWidth="1"/>
    <col min="8698" max="8698" width="26.7109375" style="42" customWidth="1"/>
    <col min="8699" max="8699" width="16.28515625" style="42" customWidth="1"/>
    <col min="8700" max="8700" width="8.7109375" style="42" customWidth="1"/>
    <col min="8701" max="8701" width="12.85546875" style="42" customWidth="1"/>
    <col min="8702" max="8702" width="6.85546875" style="42" customWidth="1"/>
    <col min="8703" max="8703" width="14.140625" style="42" customWidth="1"/>
    <col min="8704" max="8704" width="6.42578125" style="42" customWidth="1"/>
    <col min="8705" max="8705" width="11.42578125" style="42" customWidth="1"/>
    <col min="8706" max="8706" width="16.28515625" style="42" customWidth="1"/>
    <col min="8707" max="8707" width="8.140625" style="42" customWidth="1"/>
    <col min="8708" max="8708" width="15" style="42" customWidth="1"/>
    <col min="8709" max="8709" width="8.5703125" style="42" customWidth="1"/>
    <col min="8710" max="8710" width="9.140625" style="42"/>
    <col min="8711" max="8711" width="10" style="42" bestFit="1" customWidth="1"/>
    <col min="8712" max="8951" width="9.140625" style="42"/>
    <col min="8952" max="8952" width="3.28515625" style="42" customWidth="1"/>
    <col min="8953" max="8953" width="11.85546875" style="42" customWidth="1"/>
    <col min="8954" max="8954" width="26.7109375" style="42" customWidth="1"/>
    <col min="8955" max="8955" width="16.28515625" style="42" customWidth="1"/>
    <col min="8956" max="8956" width="8.7109375" style="42" customWidth="1"/>
    <col min="8957" max="8957" width="12.85546875" style="42" customWidth="1"/>
    <col min="8958" max="8958" width="6.85546875" style="42" customWidth="1"/>
    <col min="8959" max="8959" width="14.140625" style="42" customWidth="1"/>
    <col min="8960" max="8960" width="6.42578125" style="42" customWidth="1"/>
    <col min="8961" max="8961" width="11.42578125" style="42" customWidth="1"/>
    <col min="8962" max="8962" width="16.28515625" style="42" customWidth="1"/>
    <col min="8963" max="8963" width="8.140625" style="42" customWidth="1"/>
    <col min="8964" max="8964" width="15" style="42" customWidth="1"/>
    <col min="8965" max="8965" width="8.5703125" style="42" customWidth="1"/>
    <col min="8966" max="8966" width="9.140625" style="42"/>
    <col min="8967" max="8967" width="10" style="42" bestFit="1" customWidth="1"/>
    <col min="8968" max="9207" width="9.140625" style="42"/>
    <col min="9208" max="9208" width="3.28515625" style="42" customWidth="1"/>
    <col min="9209" max="9209" width="11.85546875" style="42" customWidth="1"/>
    <col min="9210" max="9210" width="26.7109375" style="42" customWidth="1"/>
    <col min="9211" max="9211" width="16.28515625" style="42" customWidth="1"/>
    <col min="9212" max="9212" width="8.7109375" style="42" customWidth="1"/>
    <col min="9213" max="9213" width="12.85546875" style="42" customWidth="1"/>
    <col min="9214" max="9214" width="6.85546875" style="42" customWidth="1"/>
    <col min="9215" max="9215" width="14.140625" style="42" customWidth="1"/>
    <col min="9216" max="9216" width="6.42578125" style="42" customWidth="1"/>
    <col min="9217" max="9217" width="11.42578125" style="42" customWidth="1"/>
    <col min="9218" max="9218" width="16.28515625" style="42" customWidth="1"/>
    <col min="9219" max="9219" width="8.140625" style="42" customWidth="1"/>
    <col min="9220" max="9220" width="15" style="42" customWidth="1"/>
    <col min="9221" max="9221" width="8.5703125" style="42" customWidth="1"/>
    <col min="9222" max="9222" width="9.140625" style="42"/>
    <col min="9223" max="9223" width="10" style="42" bestFit="1" customWidth="1"/>
    <col min="9224" max="9463" width="9.140625" style="42"/>
    <col min="9464" max="9464" width="3.28515625" style="42" customWidth="1"/>
    <col min="9465" max="9465" width="11.85546875" style="42" customWidth="1"/>
    <col min="9466" max="9466" width="26.7109375" style="42" customWidth="1"/>
    <col min="9467" max="9467" width="16.28515625" style="42" customWidth="1"/>
    <col min="9468" max="9468" width="8.7109375" style="42" customWidth="1"/>
    <col min="9469" max="9469" width="12.85546875" style="42" customWidth="1"/>
    <col min="9470" max="9470" width="6.85546875" style="42" customWidth="1"/>
    <col min="9471" max="9471" width="14.140625" style="42" customWidth="1"/>
    <col min="9472" max="9472" width="6.42578125" style="42" customWidth="1"/>
    <col min="9473" max="9473" width="11.42578125" style="42" customWidth="1"/>
    <col min="9474" max="9474" width="16.28515625" style="42" customWidth="1"/>
    <col min="9475" max="9475" width="8.140625" style="42" customWidth="1"/>
    <col min="9476" max="9476" width="15" style="42" customWidth="1"/>
    <col min="9477" max="9477" width="8.5703125" style="42" customWidth="1"/>
    <col min="9478" max="9478" width="9.140625" style="42"/>
    <col min="9479" max="9479" width="10" style="42" bestFit="1" customWidth="1"/>
    <col min="9480" max="9719" width="9.140625" style="42"/>
    <col min="9720" max="9720" width="3.28515625" style="42" customWidth="1"/>
    <col min="9721" max="9721" width="11.85546875" style="42" customWidth="1"/>
    <col min="9722" max="9722" width="26.7109375" style="42" customWidth="1"/>
    <col min="9723" max="9723" width="16.28515625" style="42" customWidth="1"/>
    <col min="9724" max="9724" width="8.7109375" style="42" customWidth="1"/>
    <col min="9725" max="9725" width="12.85546875" style="42" customWidth="1"/>
    <col min="9726" max="9726" width="6.85546875" style="42" customWidth="1"/>
    <col min="9727" max="9727" width="14.140625" style="42" customWidth="1"/>
    <col min="9728" max="9728" width="6.42578125" style="42" customWidth="1"/>
    <col min="9729" max="9729" width="11.42578125" style="42" customWidth="1"/>
    <col min="9730" max="9730" width="16.28515625" style="42" customWidth="1"/>
    <col min="9731" max="9731" width="8.140625" style="42" customWidth="1"/>
    <col min="9732" max="9732" width="15" style="42" customWidth="1"/>
    <col min="9733" max="9733" width="8.5703125" style="42" customWidth="1"/>
    <col min="9734" max="9734" width="9.140625" style="42"/>
    <col min="9735" max="9735" width="10" style="42" bestFit="1" customWidth="1"/>
    <col min="9736" max="9975" width="9.140625" style="42"/>
    <col min="9976" max="9976" width="3.28515625" style="42" customWidth="1"/>
    <col min="9977" max="9977" width="11.85546875" style="42" customWidth="1"/>
    <col min="9978" max="9978" width="26.7109375" style="42" customWidth="1"/>
    <col min="9979" max="9979" width="16.28515625" style="42" customWidth="1"/>
    <col min="9980" max="9980" width="8.7109375" style="42" customWidth="1"/>
    <col min="9981" max="9981" width="12.85546875" style="42" customWidth="1"/>
    <col min="9982" max="9982" width="6.85546875" style="42" customWidth="1"/>
    <col min="9983" max="9983" width="14.140625" style="42" customWidth="1"/>
    <col min="9984" max="9984" width="6.42578125" style="42" customWidth="1"/>
    <col min="9985" max="9985" width="11.42578125" style="42" customWidth="1"/>
    <col min="9986" max="9986" width="16.28515625" style="42" customWidth="1"/>
    <col min="9987" max="9987" width="8.140625" style="42" customWidth="1"/>
    <col min="9988" max="9988" width="15" style="42" customWidth="1"/>
    <col min="9989" max="9989" width="8.5703125" style="42" customWidth="1"/>
    <col min="9990" max="9990" width="9.140625" style="42"/>
    <col min="9991" max="9991" width="10" style="42" bestFit="1" customWidth="1"/>
    <col min="9992" max="10231" width="9.140625" style="42"/>
    <col min="10232" max="10232" width="3.28515625" style="42" customWidth="1"/>
    <col min="10233" max="10233" width="11.85546875" style="42" customWidth="1"/>
    <col min="10234" max="10234" width="26.7109375" style="42" customWidth="1"/>
    <col min="10235" max="10235" width="16.28515625" style="42" customWidth="1"/>
    <col min="10236" max="10236" width="8.7109375" style="42" customWidth="1"/>
    <col min="10237" max="10237" width="12.85546875" style="42" customWidth="1"/>
    <col min="10238" max="10238" width="6.85546875" style="42" customWidth="1"/>
    <col min="10239" max="10239" width="14.140625" style="42" customWidth="1"/>
    <col min="10240" max="10240" width="6.42578125" style="42" customWidth="1"/>
    <col min="10241" max="10241" width="11.42578125" style="42" customWidth="1"/>
    <col min="10242" max="10242" width="16.28515625" style="42" customWidth="1"/>
    <col min="10243" max="10243" width="8.140625" style="42" customWidth="1"/>
    <col min="10244" max="10244" width="15" style="42" customWidth="1"/>
    <col min="10245" max="10245" width="8.5703125" style="42" customWidth="1"/>
    <col min="10246" max="10246" width="9.140625" style="42"/>
    <col min="10247" max="10247" width="10" style="42" bestFit="1" customWidth="1"/>
    <col min="10248" max="10487" width="9.140625" style="42"/>
    <col min="10488" max="10488" width="3.28515625" style="42" customWidth="1"/>
    <col min="10489" max="10489" width="11.85546875" style="42" customWidth="1"/>
    <col min="10490" max="10490" width="26.7109375" style="42" customWidth="1"/>
    <col min="10491" max="10491" width="16.28515625" style="42" customWidth="1"/>
    <col min="10492" max="10492" width="8.7109375" style="42" customWidth="1"/>
    <col min="10493" max="10493" width="12.85546875" style="42" customWidth="1"/>
    <col min="10494" max="10494" width="6.85546875" style="42" customWidth="1"/>
    <col min="10495" max="10495" width="14.140625" style="42" customWidth="1"/>
    <col min="10496" max="10496" width="6.42578125" style="42" customWidth="1"/>
    <col min="10497" max="10497" width="11.42578125" style="42" customWidth="1"/>
    <col min="10498" max="10498" width="16.28515625" style="42" customWidth="1"/>
    <col min="10499" max="10499" width="8.140625" style="42" customWidth="1"/>
    <col min="10500" max="10500" width="15" style="42" customWidth="1"/>
    <col min="10501" max="10501" width="8.5703125" style="42" customWidth="1"/>
    <col min="10502" max="10502" width="9.140625" style="42"/>
    <col min="10503" max="10503" width="10" style="42" bestFit="1" customWidth="1"/>
    <col min="10504" max="10743" width="9.140625" style="42"/>
    <col min="10744" max="10744" width="3.28515625" style="42" customWidth="1"/>
    <col min="10745" max="10745" width="11.85546875" style="42" customWidth="1"/>
    <col min="10746" max="10746" width="26.7109375" style="42" customWidth="1"/>
    <col min="10747" max="10747" width="16.28515625" style="42" customWidth="1"/>
    <col min="10748" max="10748" width="8.7109375" style="42" customWidth="1"/>
    <col min="10749" max="10749" width="12.85546875" style="42" customWidth="1"/>
    <col min="10750" max="10750" width="6.85546875" style="42" customWidth="1"/>
    <col min="10751" max="10751" width="14.140625" style="42" customWidth="1"/>
    <col min="10752" max="10752" width="6.42578125" style="42" customWidth="1"/>
    <col min="10753" max="10753" width="11.42578125" style="42" customWidth="1"/>
    <col min="10754" max="10754" width="16.28515625" style="42" customWidth="1"/>
    <col min="10755" max="10755" width="8.140625" style="42" customWidth="1"/>
    <col min="10756" max="10756" width="15" style="42" customWidth="1"/>
    <col min="10757" max="10757" width="8.5703125" style="42" customWidth="1"/>
    <col min="10758" max="10758" width="9.140625" style="42"/>
    <col min="10759" max="10759" width="10" style="42" bestFit="1" customWidth="1"/>
    <col min="10760" max="10999" width="9.140625" style="42"/>
    <col min="11000" max="11000" width="3.28515625" style="42" customWidth="1"/>
    <col min="11001" max="11001" width="11.85546875" style="42" customWidth="1"/>
    <col min="11002" max="11002" width="26.7109375" style="42" customWidth="1"/>
    <col min="11003" max="11003" width="16.28515625" style="42" customWidth="1"/>
    <col min="11004" max="11004" width="8.7109375" style="42" customWidth="1"/>
    <col min="11005" max="11005" width="12.85546875" style="42" customWidth="1"/>
    <col min="11006" max="11006" width="6.85546875" style="42" customWidth="1"/>
    <col min="11007" max="11007" width="14.140625" style="42" customWidth="1"/>
    <col min="11008" max="11008" width="6.42578125" style="42" customWidth="1"/>
    <col min="11009" max="11009" width="11.42578125" style="42" customWidth="1"/>
    <col min="11010" max="11010" width="16.28515625" style="42" customWidth="1"/>
    <col min="11011" max="11011" width="8.140625" style="42" customWidth="1"/>
    <col min="11012" max="11012" width="15" style="42" customWidth="1"/>
    <col min="11013" max="11013" width="8.5703125" style="42" customWidth="1"/>
    <col min="11014" max="11014" width="9.140625" style="42"/>
    <col min="11015" max="11015" width="10" style="42" bestFit="1" customWidth="1"/>
    <col min="11016" max="11255" width="9.140625" style="42"/>
    <col min="11256" max="11256" width="3.28515625" style="42" customWidth="1"/>
    <col min="11257" max="11257" width="11.85546875" style="42" customWidth="1"/>
    <col min="11258" max="11258" width="26.7109375" style="42" customWidth="1"/>
    <col min="11259" max="11259" width="16.28515625" style="42" customWidth="1"/>
    <col min="11260" max="11260" width="8.7109375" style="42" customWidth="1"/>
    <col min="11261" max="11261" width="12.85546875" style="42" customWidth="1"/>
    <col min="11262" max="11262" width="6.85546875" style="42" customWidth="1"/>
    <col min="11263" max="11263" width="14.140625" style="42" customWidth="1"/>
    <col min="11264" max="11264" width="6.42578125" style="42" customWidth="1"/>
    <col min="11265" max="11265" width="11.42578125" style="42" customWidth="1"/>
    <col min="11266" max="11266" width="16.28515625" style="42" customWidth="1"/>
    <col min="11267" max="11267" width="8.140625" style="42" customWidth="1"/>
    <col min="11268" max="11268" width="15" style="42" customWidth="1"/>
    <col min="11269" max="11269" width="8.5703125" style="42" customWidth="1"/>
    <col min="11270" max="11270" width="9.140625" style="42"/>
    <col min="11271" max="11271" width="10" style="42" bestFit="1" customWidth="1"/>
    <col min="11272" max="11511" width="9.140625" style="42"/>
    <col min="11512" max="11512" width="3.28515625" style="42" customWidth="1"/>
    <col min="11513" max="11513" width="11.85546875" style="42" customWidth="1"/>
    <col min="11514" max="11514" width="26.7109375" style="42" customWidth="1"/>
    <col min="11515" max="11515" width="16.28515625" style="42" customWidth="1"/>
    <col min="11516" max="11516" width="8.7109375" style="42" customWidth="1"/>
    <col min="11517" max="11517" width="12.85546875" style="42" customWidth="1"/>
    <col min="11518" max="11518" width="6.85546875" style="42" customWidth="1"/>
    <col min="11519" max="11519" width="14.140625" style="42" customWidth="1"/>
    <col min="11520" max="11520" width="6.42578125" style="42" customWidth="1"/>
    <col min="11521" max="11521" width="11.42578125" style="42" customWidth="1"/>
    <col min="11522" max="11522" width="16.28515625" style="42" customWidth="1"/>
    <col min="11523" max="11523" width="8.140625" style="42" customWidth="1"/>
    <col min="11524" max="11524" width="15" style="42" customWidth="1"/>
    <col min="11525" max="11525" width="8.5703125" style="42" customWidth="1"/>
    <col min="11526" max="11526" width="9.140625" style="42"/>
    <col min="11527" max="11527" width="10" style="42" bestFit="1" customWidth="1"/>
    <col min="11528" max="11767" width="9.140625" style="42"/>
    <col min="11768" max="11768" width="3.28515625" style="42" customWidth="1"/>
    <col min="11769" max="11769" width="11.85546875" style="42" customWidth="1"/>
    <col min="11770" max="11770" width="26.7109375" style="42" customWidth="1"/>
    <col min="11771" max="11771" width="16.28515625" style="42" customWidth="1"/>
    <col min="11772" max="11772" width="8.7109375" style="42" customWidth="1"/>
    <col min="11773" max="11773" width="12.85546875" style="42" customWidth="1"/>
    <col min="11774" max="11774" width="6.85546875" style="42" customWidth="1"/>
    <col min="11775" max="11775" width="14.140625" style="42" customWidth="1"/>
    <col min="11776" max="11776" width="6.42578125" style="42" customWidth="1"/>
    <col min="11777" max="11777" width="11.42578125" style="42" customWidth="1"/>
    <col min="11778" max="11778" width="16.28515625" style="42" customWidth="1"/>
    <col min="11779" max="11779" width="8.140625" style="42" customWidth="1"/>
    <col min="11780" max="11780" width="15" style="42" customWidth="1"/>
    <col min="11781" max="11781" width="8.5703125" style="42" customWidth="1"/>
    <col min="11782" max="11782" width="9.140625" style="42"/>
    <col min="11783" max="11783" width="10" style="42" bestFit="1" customWidth="1"/>
    <col min="11784" max="12023" width="9.140625" style="42"/>
    <col min="12024" max="12024" width="3.28515625" style="42" customWidth="1"/>
    <col min="12025" max="12025" width="11.85546875" style="42" customWidth="1"/>
    <col min="12026" max="12026" width="26.7109375" style="42" customWidth="1"/>
    <col min="12027" max="12027" width="16.28515625" style="42" customWidth="1"/>
    <col min="12028" max="12028" width="8.7109375" style="42" customWidth="1"/>
    <col min="12029" max="12029" width="12.85546875" style="42" customWidth="1"/>
    <col min="12030" max="12030" width="6.85546875" style="42" customWidth="1"/>
    <col min="12031" max="12031" width="14.140625" style="42" customWidth="1"/>
    <col min="12032" max="12032" width="6.42578125" style="42" customWidth="1"/>
    <col min="12033" max="12033" width="11.42578125" style="42" customWidth="1"/>
    <col min="12034" max="12034" width="16.28515625" style="42" customWidth="1"/>
    <col min="12035" max="12035" width="8.140625" style="42" customWidth="1"/>
    <col min="12036" max="12036" width="15" style="42" customWidth="1"/>
    <col min="12037" max="12037" width="8.5703125" style="42" customWidth="1"/>
    <col min="12038" max="12038" width="9.140625" style="42"/>
    <col min="12039" max="12039" width="10" style="42" bestFit="1" customWidth="1"/>
    <col min="12040" max="12279" width="9.140625" style="42"/>
    <col min="12280" max="12280" width="3.28515625" style="42" customWidth="1"/>
    <col min="12281" max="12281" width="11.85546875" style="42" customWidth="1"/>
    <col min="12282" max="12282" width="26.7109375" style="42" customWidth="1"/>
    <col min="12283" max="12283" width="16.28515625" style="42" customWidth="1"/>
    <col min="12284" max="12284" width="8.7109375" style="42" customWidth="1"/>
    <col min="12285" max="12285" width="12.85546875" style="42" customWidth="1"/>
    <col min="12286" max="12286" width="6.85546875" style="42" customWidth="1"/>
    <col min="12287" max="12287" width="14.140625" style="42" customWidth="1"/>
    <col min="12288" max="12288" width="6.42578125" style="42" customWidth="1"/>
    <col min="12289" max="12289" width="11.42578125" style="42" customWidth="1"/>
    <col min="12290" max="12290" width="16.28515625" style="42" customWidth="1"/>
    <col min="12291" max="12291" width="8.140625" style="42" customWidth="1"/>
    <col min="12292" max="12292" width="15" style="42" customWidth="1"/>
    <col min="12293" max="12293" width="8.5703125" style="42" customWidth="1"/>
    <col min="12294" max="12294" width="9.140625" style="42"/>
    <col min="12295" max="12295" width="10" style="42" bestFit="1" customWidth="1"/>
    <col min="12296" max="12535" width="9.140625" style="42"/>
    <col min="12536" max="12536" width="3.28515625" style="42" customWidth="1"/>
    <col min="12537" max="12537" width="11.85546875" style="42" customWidth="1"/>
    <col min="12538" max="12538" width="26.7109375" style="42" customWidth="1"/>
    <col min="12539" max="12539" width="16.28515625" style="42" customWidth="1"/>
    <col min="12540" max="12540" width="8.7109375" style="42" customWidth="1"/>
    <col min="12541" max="12541" width="12.85546875" style="42" customWidth="1"/>
    <col min="12542" max="12542" width="6.85546875" style="42" customWidth="1"/>
    <col min="12543" max="12543" width="14.140625" style="42" customWidth="1"/>
    <col min="12544" max="12544" width="6.42578125" style="42" customWidth="1"/>
    <col min="12545" max="12545" width="11.42578125" style="42" customWidth="1"/>
    <col min="12546" max="12546" width="16.28515625" style="42" customWidth="1"/>
    <col min="12547" max="12547" width="8.140625" style="42" customWidth="1"/>
    <col min="12548" max="12548" width="15" style="42" customWidth="1"/>
    <col min="12549" max="12549" width="8.5703125" style="42" customWidth="1"/>
    <col min="12550" max="12550" width="9.140625" style="42"/>
    <col min="12551" max="12551" width="10" style="42" bestFit="1" customWidth="1"/>
    <col min="12552" max="12791" width="9.140625" style="42"/>
    <col min="12792" max="12792" width="3.28515625" style="42" customWidth="1"/>
    <col min="12793" max="12793" width="11.85546875" style="42" customWidth="1"/>
    <col min="12794" max="12794" width="26.7109375" style="42" customWidth="1"/>
    <col min="12795" max="12795" width="16.28515625" style="42" customWidth="1"/>
    <col min="12796" max="12796" width="8.7109375" style="42" customWidth="1"/>
    <col min="12797" max="12797" width="12.85546875" style="42" customWidth="1"/>
    <col min="12798" max="12798" width="6.85546875" style="42" customWidth="1"/>
    <col min="12799" max="12799" width="14.140625" style="42" customWidth="1"/>
    <col min="12800" max="12800" width="6.42578125" style="42" customWidth="1"/>
    <col min="12801" max="12801" width="11.42578125" style="42" customWidth="1"/>
    <col min="12802" max="12802" width="16.28515625" style="42" customWidth="1"/>
    <col min="12803" max="12803" width="8.140625" style="42" customWidth="1"/>
    <col min="12804" max="12804" width="15" style="42" customWidth="1"/>
    <col min="12805" max="12805" width="8.5703125" style="42" customWidth="1"/>
    <col min="12806" max="12806" width="9.140625" style="42"/>
    <col min="12807" max="12807" width="10" style="42" bestFit="1" customWidth="1"/>
    <col min="12808" max="13047" width="9.140625" style="42"/>
    <col min="13048" max="13048" width="3.28515625" style="42" customWidth="1"/>
    <col min="13049" max="13049" width="11.85546875" style="42" customWidth="1"/>
    <col min="13050" max="13050" width="26.7109375" style="42" customWidth="1"/>
    <col min="13051" max="13051" width="16.28515625" style="42" customWidth="1"/>
    <col min="13052" max="13052" width="8.7109375" style="42" customWidth="1"/>
    <col min="13053" max="13053" width="12.85546875" style="42" customWidth="1"/>
    <col min="13054" max="13054" width="6.85546875" style="42" customWidth="1"/>
    <col min="13055" max="13055" width="14.140625" style="42" customWidth="1"/>
    <col min="13056" max="13056" width="6.42578125" style="42" customWidth="1"/>
    <col min="13057" max="13057" width="11.42578125" style="42" customWidth="1"/>
    <col min="13058" max="13058" width="16.28515625" style="42" customWidth="1"/>
    <col min="13059" max="13059" width="8.140625" style="42" customWidth="1"/>
    <col min="13060" max="13060" width="15" style="42" customWidth="1"/>
    <col min="13061" max="13061" width="8.5703125" style="42" customWidth="1"/>
    <col min="13062" max="13062" width="9.140625" style="42"/>
    <col min="13063" max="13063" width="10" style="42" bestFit="1" customWidth="1"/>
    <col min="13064" max="13303" width="9.140625" style="42"/>
    <col min="13304" max="13304" width="3.28515625" style="42" customWidth="1"/>
    <col min="13305" max="13305" width="11.85546875" style="42" customWidth="1"/>
    <col min="13306" max="13306" width="26.7109375" style="42" customWidth="1"/>
    <col min="13307" max="13307" width="16.28515625" style="42" customWidth="1"/>
    <col min="13308" max="13308" width="8.7109375" style="42" customWidth="1"/>
    <col min="13309" max="13309" width="12.85546875" style="42" customWidth="1"/>
    <col min="13310" max="13310" width="6.85546875" style="42" customWidth="1"/>
    <col min="13311" max="13311" width="14.140625" style="42" customWidth="1"/>
    <col min="13312" max="13312" width="6.42578125" style="42" customWidth="1"/>
    <col min="13313" max="13313" width="11.42578125" style="42" customWidth="1"/>
    <col min="13314" max="13314" width="16.28515625" style="42" customWidth="1"/>
    <col min="13315" max="13315" width="8.140625" style="42" customWidth="1"/>
    <col min="13316" max="13316" width="15" style="42" customWidth="1"/>
    <col min="13317" max="13317" width="8.5703125" style="42" customWidth="1"/>
    <col min="13318" max="13318" width="9.140625" style="42"/>
    <col min="13319" max="13319" width="10" style="42" bestFit="1" customWidth="1"/>
    <col min="13320" max="13559" width="9.140625" style="42"/>
    <col min="13560" max="13560" width="3.28515625" style="42" customWidth="1"/>
    <col min="13561" max="13561" width="11.85546875" style="42" customWidth="1"/>
    <col min="13562" max="13562" width="26.7109375" style="42" customWidth="1"/>
    <col min="13563" max="13563" width="16.28515625" style="42" customWidth="1"/>
    <col min="13564" max="13564" width="8.7109375" style="42" customWidth="1"/>
    <col min="13565" max="13565" width="12.85546875" style="42" customWidth="1"/>
    <col min="13566" max="13566" width="6.85546875" style="42" customWidth="1"/>
    <col min="13567" max="13567" width="14.140625" style="42" customWidth="1"/>
    <col min="13568" max="13568" width="6.42578125" style="42" customWidth="1"/>
    <col min="13569" max="13569" width="11.42578125" style="42" customWidth="1"/>
    <col min="13570" max="13570" width="16.28515625" style="42" customWidth="1"/>
    <col min="13571" max="13571" width="8.140625" style="42" customWidth="1"/>
    <col min="13572" max="13572" width="15" style="42" customWidth="1"/>
    <col min="13573" max="13573" width="8.5703125" style="42" customWidth="1"/>
    <col min="13574" max="13574" width="9.140625" style="42"/>
    <col min="13575" max="13575" width="10" style="42" bestFit="1" customWidth="1"/>
    <col min="13576" max="13815" width="9.140625" style="42"/>
    <col min="13816" max="13816" width="3.28515625" style="42" customWidth="1"/>
    <col min="13817" max="13817" width="11.85546875" style="42" customWidth="1"/>
    <col min="13818" max="13818" width="26.7109375" style="42" customWidth="1"/>
    <col min="13819" max="13819" width="16.28515625" style="42" customWidth="1"/>
    <col min="13820" max="13820" width="8.7109375" style="42" customWidth="1"/>
    <col min="13821" max="13821" width="12.85546875" style="42" customWidth="1"/>
    <col min="13822" max="13822" width="6.85546875" style="42" customWidth="1"/>
    <col min="13823" max="13823" width="14.140625" style="42" customWidth="1"/>
    <col min="13824" max="13824" width="6.42578125" style="42" customWidth="1"/>
    <col min="13825" max="13825" width="11.42578125" style="42" customWidth="1"/>
    <col min="13826" max="13826" width="16.28515625" style="42" customWidth="1"/>
    <col min="13827" max="13827" width="8.140625" style="42" customWidth="1"/>
    <col min="13828" max="13828" width="15" style="42" customWidth="1"/>
    <col min="13829" max="13829" width="8.5703125" style="42" customWidth="1"/>
    <col min="13830" max="13830" width="9.140625" style="42"/>
    <col min="13831" max="13831" width="10" style="42" bestFit="1" customWidth="1"/>
    <col min="13832" max="14071" width="9.140625" style="42"/>
    <col min="14072" max="14072" width="3.28515625" style="42" customWidth="1"/>
    <col min="14073" max="14073" width="11.85546875" style="42" customWidth="1"/>
    <col min="14074" max="14074" width="26.7109375" style="42" customWidth="1"/>
    <col min="14075" max="14075" width="16.28515625" style="42" customWidth="1"/>
    <col min="14076" max="14076" width="8.7109375" style="42" customWidth="1"/>
    <col min="14077" max="14077" width="12.85546875" style="42" customWidth="1"/>
    <col min="14078" max="14078" width="6.85546875" style="42" customWidth="1"/>
    <col min="14079" max="14079" width="14.140625" style="42" customWidth="1"/>
    <col min="14080" max="14080" width="6.42578125" style="42" customWidth="1"/>
    <col min="14081" max="14081" width="11.42578125" style="42" customWidth="1"/>
    <col min="14082" max="14082" width="16.28515625" style="42" customWidth="1"/>
    <col min="14083" max="14083" width="8.140625" style="42" customWidth="1"/>
    <col min="14084" max="14084" width="15" style="42" customWidth="1"/>
    <col min="14085" max="14085" width="8.5703125" style="42" customWidth="1"/>
    <col min="14086" max="14086" width="9.140625" style="42"/>
    <col min="14087" max="14087" width="10" style="42" bestFit="1" customWidth="1"/>
    <col min="14088" max="14327" width="9.140625" style="42"/>
    <col min="14328" max="14328" width="3.28515625" style="42" customWidth="1"/>
    <col min="14329" max="14329" width="11.85546875" style="42" customWidth="1"/>
    <col min="14330" max="14330" width="26.7109375" style="42" customWidth="1"/>
    <col min="14331" max="14331" width="16.28515625" style="42" customWidth="1"/>
    <col min="14332" max="14332" width="8.7109375" style="42" customWidth="1"/>
    <col min="14333" max="14333" width="12.85546875" style="42" customWidth="1"/>
    <col min="14334" max="14334" width="6.85546875" style="42" customWidth="1"/>
    <col min="14335" max="14335" width="14.140625" style="42" customWidth="1"/>
    <col min="14336" max="14336" width="6.42578125" style="42" customWidth="1"/>
    <col min="14337" max="14337" width="11.42578125" style="42" customWidth="1"/>
    <col min="14338" max="14338" width="16.28515625" style="42" customWidth="1"/>
    <col min="14339" max="14339" width="8.140625" style="42" customWidth="1"/>
    <col min="14340" max="14340" width="15" style="42" customWidth="1"/>
    <col min="14341" max="14341" width="8.5703125" style="42" customWidth="1"/>
    <col min="14342" max="14342" width="9.140625" style="42"/>
    <col min="14343" max="14343" width="10" style="42" bestFit="1" customWidth="1"/>
    <col min="14344" max="14583" width="9.140625" style="42"/>
    <col min="14584" max="14584" width="3.28515625" style="42" customWidth="1"/>
    <col min="14585" max="14585" width="11.85546875" style="42" customWidth="1"/>
    <col min="14586" max="14586" width="26.7109375" style="42" customWidth="1"/>
    <col min="14587" max="14587" width="16.28515625" style="42" customWidth="1"/>
    <col min="14588" max="14588" width="8.7109375" style="42" customWidth="1"/>
    <col min="14589" max="14589" width="12.85546875" style="42" customWidth="1"/>
    <col min="14590" max="14590" width="6.85546875" style="42" customWidth="1"/>
    <col min="14591" max="14591" width="14.140625" style="42" customWidth="1"/>
    <col min="14592" max="14592" width="6.42578125" style="42" customWidth="1"/>
    <col min="14593" max="14593" width="11.42578125" style="42" customWidth="1"/>
    <col min="14594" max="14594" width="16.28515625" style="42" customWidth="1"/>
    <col min="14595" max="14595" width="8.140625" style="42" customWidth="1"/>
    <col min="14596" max="14596" width="15" style="42" customWidth="1"/>
    <col min="14597" max="14597" width="8.5703125" style="42" customWidth="1"/>
    <col min="14598" max="14598" width="9.140625" style="42"/>
    <col min="14599" max="14599" width="10" style="42" bestFit="1" customWidth="1"/>
    <col min="14600" max="14839" width="9.140625" style="42"/>
    <col min="14840" max="14840" width="3.28515625" style="42" customWidth="1"/>
    <col min="14841" max="14841" width="11.85546875" style="42" customWidth="1"/>
    <col min="14842" max="14842" width="26.7109375" style="42" customWidth="1"/>
    <col min="14843" max="14843" width="16.28515625" style="42" customWidth="1"/>
    <col min="14844" max="14844" width="8.7109375" style="42" customWidth="1"/>
    <col min="14845" max="14845" width="12.85546875" style="42" customWidth="1"/>
    <col min="14846" max="14846" width="6.85546875" style="42" customWidth="1"/>
    <col min="14847" max="14847" width="14.140625" style="42" customWidth="1"/>
    <col min="14848" max="14848" width="6.42578125" style="42" customWidth="1"/>
    <col min="14849" max="14849" width="11.42578125" style="42" customWidth="1"/>
    <col min="14850" max="14850" width="16.28515625" style="42" customWidth="1"/>
    <col min="14851" max="14851" width="8.140625" style="42" customWidth="1"/>
    <col min="14852" max="14852" width="15" style="42" customWidth="1"/>
    <col min="14853" max="14853" width="8.5703125" style="42" customWidth="1"/>
    <col min="14854" max="14854" width="9.140625" style="42"/>
    <col min="14855" max="14855" width="10" style="42" bestFit="1" customWidth="1"/>
    <col min="14856" max="15095" width="9.140625" style="42"/>
    <col min="15096" max="15096" width="3.28515625" style="42" customWidth="1"/>
    <col min="15097" max="15097" width="11.85546875" style="42" customWidth="1"/>
    <col min="15098" max="15098" width="26.7109375" style="42" customWidth="1"/>
    <col min="15099" max="15099" width="16.28515625" style="42" customWidth="1"/>
    <col min="15100" max="15100" width="8.7109375" style="42" customWidth="1"/>
    <col min="15101" max="15101" width="12.85546875" style="42" customWidth="1"/>
    <col min="15102" max="15102" width="6.85546875" style="42" customWidth="1"/>
    <col min="15103" max="15103" width="14.140625" style="42" customWidth="1"/>
    <col min="15104" max="15104" width="6.42578125" style="42" customWidth="1"/>
    <col min="15105" max="15105" width="11.42578125" style="42" customWidth="1"/>
    <col min="15106" max="15106" width="16.28515625" style="42" customWidth="1"/>
    <col min="15107" max="15107" width="8.140625" style="42" customWidth="1"/>
    <col min="15108" max="15108" width="15" style="42" customWidth="1"/>
    <col min="15109" max="15109" width="8.5703125" style="42" customWidth="1"/>
    <col min="15110" max="15110" width="9.140625" style="42"/>
    <col min="15111" max="15111" width="10" style="42" bestFit="1" customWidth="1"/>
    <col min="15112" max="15351" width="9.140625" style="42"/>
    <col min="15352" max="15352" width="3.28515625" style="42" customWidth="1"/>
    <col min="15353" max="15353" width="11.85546875" style="42" customWidth="1"/>
    <col min="15354" max="15354" width="26.7109375" style="42" customWidth="1"/>
    <col min="15355" max="15355" width="16.28515625" style="42" customWidth="1"/>
    <col min="15356" max="15356" width="8.7109375" style="42" customWidth="1"/>
    <col min="15357" max="15357" width="12.85546875" style="42" customWidth="1"/>
    <col min="15358" max="15358" width="6.85546875" style="42" customWidth="1"/>
    <col min="15359" max="15359" width="14.140625" style="42" customWidth="1"/>
    <col min="15360" max="15360" width="6.42578125" style="42" customWidth="1"/>
    <col min="15361" max="15361" width="11.42578125" style="42" customWidth="1"/>
    <col min="15362" max="15362" width="16.28515625" style="42" customWidth="1"/>
    <col min="15363" max="15363" width="8.140625" style="42" customWidth="1"/>
    <col min="15364" max="15364" width="15" style="42" customWidth="1"/>
    <col min="15365" max="15365" width="8.5703125" style="42" customWidth="1"/>
    <col min="15366" max="15366" width="9.140625" style="42"/>
    <col min="15367" max="15367" width="10" style="42" bestFit="1" customWidth="1"/>
    <col min="15368" max="15607" width="9.140625" style="42"/>
    <col min="15608" max="15608" width="3.28515625" style="42" customWidth="1"/>
    <col min="15609" max="15609" width="11.85546875" style="42" customWidth="1"/>
    <col min="15610" max="15610" width="26.7109375" style="42" customWidth="1"/>
    <col min="15611" max="15611" width="16.28515625" style="42" customWidth="1"/>
    <col min="15612" max="15612" width="8.7109375" style="42" customWidth="1"/>
    <col min="15613" max="15613" width="12.85546875" style="42" customWidth="1"/>
    <col min="15614" max="15614" width="6.85546875" style="42" customWidth="1"/>
    <col min="15615" max="15615" width="14.140625" style="42" customWidth="1"/>
    <col min="15616" max="15616" width="6.42578125" style="42" customWidth="1"/>
    <col min="15617" max="15617" width="11.42578125" style="42" customWidth="1"/>
    <col min="15618" max="15618" width="16.28515625" style="42" customWidth="1"/>
    <col min="15619" max="15619" width="8.140625" style="42" customWidth="1"/>
    <col min="15620" max="15620" width="15" style="42" customWidth="1"/>
    <col min="15621" max="15621" width="8.5703125" style="42" customWidth="1"/>
    <col min="15622" max="15622" width="9.140625" style="42"/>
    <col min="15623" max="15623" width="10" style="42" bestFit="1" customWidth="1"/>
    <col min="15624" max="15863" width="9.140625" style="42"/>
    <col min="15864" max="15864" width="3.28515625" style="42" customWidth="1"/>
    <col min="15865" max="15865" width="11.85546875" style="42" customWidth="1"/>
    <col min="15866" max="15866" width="26.7109375" style="42" customWidth="1"/>
    <col min="15867" max="15867" width="16.28515625" style="42" customWidth="1"/>
    <col min="15868" max="15868" width="8.7109375" style="42" customWidth="1"/>
    <col min="15869" max="15869" width="12.85546875" style="42" customWidth="1"/>
    <col min="15870" max="15870" width="6.85546875" style="42" customWidth="1"/>
    <col min="15871" max="15871" width="14.140625" style="42" customWidth="1"/>
    <col min="15872" max="15872" width="6.42578125" style="42" customWidth="1"/>
    <col min="15873" max="15873" width="11.42578125" style="42" customWidth="1"/>
    <col min="15874" max="15874" width="16.28515625" style="42" customWidth="1"/>
    <col min="15875" max="15875" width="8.140625" style="42" customWidth="1"/>
    <col min="15876" max="15876" width="15" style="42" customWidth="1"/>
    <col min="15877" max="15877" width="8.5703125" style="42" customWidth="1"/>
    <col min="15878" max="15878" width="9.140625" style="42"/>
    <col min="15879" max="15879" width="10" style="42" bestFit="1" customWidth="1"/>
    <col min="15880" max="16119" width="9.140625" style="42"/>
    <col min="16120" max="16120" width="3.28515625" style="42" customWidth="1"/>
    <col min="16121" max="16121" width="11.85546875" style="42" customWidth="1"/>
    <col min="16122" max="16122" width="26.7109375" style="42" customWidth="1"/>
    <col min="16123" max="16123" width="16.28515625" style="42" customWidth="1"/>
    <col min="16124" max="16124" width="8.7109375" style="42" customWidth="1"/>
    <col min="16125" max="16125" width="12.85546875" style="42" customWidth="1"/>
    <col min="16126" max="16126" width="6.85546875" style="42" customWidth="1"/>
    <col min="16127" max="16127" width="14.140625" style="42" customWidth="1"/>
    <col min="16128" max="16128" width="6.42578125" style="42" customWidth="1"/>
    <col min="16129" max="16129" width="11.42578125" style="42" customWidth="1"/>
    <col min="16130" max="16130" width="16.28515625" style="42" customWidth="1"/>
    <col min="16131" max="16131" width="8.140625" style="42" customWidth="1"/>
    <col min="16132" max="16132" width="15" style="42" customWidth="1"/>
    <col min="16133" max="16133" width="8.5703125" style="42" customWidth="1"/>
    <col min="16134" max="16134" width="9.140625" style="42"/>
    <col min="16135" max="16135" width="10" style="42" bestFit="1" customWidth="1"/>
    <col min="16136" max="16384" width="9.140625" style="42"/>
  </cols>
  <sheetData>
    <row r="1" spans="1:18" s="412" customFormat="1" ht="11.25">
      <c r="A1" s="410"/>
      <c r="B1" s="411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30"/>
      <c r="P1" s="410"/>
      <c r="Q1" s="410"/>
    </row>
    <row r="2" spans="1:18" s="412" customFormat="1" ht="11.25">
      <c r="A2" s="410"/>
      <c r="B2" s="1338" t="s">
        <v>112</v>
      </c>
      <c r="C2" s="1338"/>
      <c r="D2" s="1338"/>
      <c r="E2" s="1338"/>
      <c r="F2" s="1338"/>
      <c r="G2" s="1338"/>
      <c r="H2" s="1338"/>
      <c r="I2" s="1338"/>
      <c r="J2" s="1338"/>
      <c r="K2" s="1338"/>
      <c r="L2" s="1338"/>
      <c r="M2" s="1338"/>
      <c r="N2" s="1338"/>
    </row>
    <row r="3" spans="1:18" s="412" customFormat="1" ht="11.25">
      <c r="A3" s="410"/>
      <c r="B3" s="1339" t="s">
        <v>497</v>
      </c>
      <c r="C3" s="1339"/>
      <c r="D3" s="1339"/>
      <c r="E3" s="1339"/>
      <c r="F3" s="1339"/>
      <c r="G3" s="1339"/>
      <c r="H3" s="1339"/>
      <c r="I3" s="1339"/>
      <c r="J3" s="1339"/>
      <c r="K3" s="1339"/>
      <c r="L3" s="1339"/>
      <c r="M3" s="1339"/>
      <c r="N3" s="1339"/>
    </row>
    <row r="4" spans="1:18" s="412" customFormat="1" ht="11.25">
      <c r="A4" s="410"/>
      <c r="B4" s="1340" t="s">
        <v>1</v>
      </c>
      <c r="C4" s="1340"/>
      <c r="D4" s="1340"/>
      <c r="E4" s="1340"/>
      <c r="F4" s="1340"/>
      <c r="G4" s="1340"/>
      <c r="H4" s="1340"/>
      <c r="I4" s="1340"/>
      <c r="J4" s="1340"/>
      <c r="K4" s="1340"/>
      <c r="L4" s="1340"/>
      <c r="M4" s="1340"/>
      <c r="N4" s="1340"/>
    </row>
    <row r="5" spans="1:18" s="412" customFormat="1" ht="11.25">
      <c r="A5" s="1330"/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30"/>
      <c r="P5" s="410"/>
      <c r="Q5" s="410"/>
    </row>
    <row r="6" spans="1:18" s="412" customFormat="1" ht="7.5" customHeight="1">
      <c r="A6" s="1330"/>
      <c r="B6" s="1331" t="s">
        <v>113</v>
      </c>
      <c r="C6" s="1332" t="s">
        <v>160</v>
      </c>
      <c r="D6" s="1332"/>
      <c r="E6" s="1332"/>
      <c r="F6" s="1331" t="s">
        <v>3</v>
      </c>
      <c r="G6" s="1331"/>
      <c r="H6" s="1332" t="s">
        <v>179</v>
      </c>
      <c r="I6" s="1332"/>
      <c r="J6" s="1332"/>
      <c r="K6" s="1332"/>
      <c r="L6" s="1332"/>
      <c r="M6" s="1332"/>
      <c r="N6" s="1332"/>
    </row>
    <row r="7" spans="1:18" s="412" customFormat="1" ht="7.5" customHeight="1">
      <c r="A7" s="410"/>
      <c r="B7" s="1331"/>
      <c r="C7" s="1332"/>
      <c r="D7" s="1332"/>
      <c r="E7" s="1332"/>
      <c r="F7" s="1331"/>
      <c r="G7" s="1331"/>
      <c r="H7" s="1332"/>
      <c r="I7" s="1332"/>
      <c r="J7" s="1332"/>
      <c r="K7" s="1332"/>
      <c r="L7" s="1332"/>
      <c r="M7" s="1332"/>
      <c r="N7" s="1332"/>
    </row>
    <row r="8" spans="1:18" s="412" customFormat="1" ht="14.25" customHeight="1">
      <c r="A8" s="410"/>
      <c r="B8" s="1125" t="s">
        <v>114</v>
      </c>
      <c r="C8" s="1332" t="s">
        <v>152</v>
      </c>
      <c r="D8" s="1332"/>
      <c r="E8" s="1332"/>
      <c r="F8" s="1331" t="s">
        <v>115</v>
      </c>
      <c r="G8" s="1331"/>
      <c r="H8" s="1332" t="s">
        <v>151</v>
      </c>
      <c r="I8" s="1332"/>
      <c r="J8" s="1332"/>
      <c r="K8" s="1332"/>
      <c r="L8" s="1332"/>
      <c r="M8" s="1332"/>
      <c r="N8" s="1332"/>
    </row>
    <row r="9" spans="1:18">
      <c r="A9" s="249"/>
      <c r="B9" s="1341" t="s">
        <v>4</v>
      </c>
      <c r="C9" s="1341"/>
      <c r="D9" s="1342" t="s">
        <v>116</v>
      </c>
      <c r="E9" s="1342"/>
      <c r="F9" s="1342"/>
      <c r="G9" s="1342"/>
      <c r="H9" s="1342"/>
      <c r="I9" s="1342"/>
      <c r="J9" s="1342"/>
      <c r="K9" s="1342"/>
      <c r="L9" s="1342"/>
      <c r="M9" s="1342"/>
      <c r="N9" s="1342"/>
    </row>
    <row r="10" spans="1:18" ht="18">
      <c r="A10" s="249"/>
      <c r="B10" s="1341"/>
      <c r="C10" s="1341"/>
      <c r="D10" s="1126" t="s">
        <v>117</v>
      </c>
      <c r="E10" s="1127">
        <v>2025</v>
      </c>
      <c r="F10" s="1333" t="s">
        <v>6</v>
      </c>
      <c r="G10" s="1333"/>
      <c r="H10" s="1333" t="s">
        <v>6</v>
      </c>
      <c r="I10" s="1333"/>
      <c r="J10" s="1128" t="s">
        <v>6</v>
      </c>
      <c r="K10" s="1333" t="s">
        <v>6</v>
      </c>
      <c r="L10" s="1333"/>
      <c r="M10" s="1334" t="s">
        <v>118</v>
      </c>
      <c r="N10" s="1335" t="s">
        <v>8</v>
      </c>
      <c r="P10" s="1336" t="s">
        <v>6</v>
      </c>
      <c r="Q10" s="1337"/>
    </row>
    <row r="11" spans="1:18" ht="45">
      <c r="A11" s="249"/>
      <c r="B11" s="1341"/>
      <c r="C11" s="1341"/>
      <c r="D11" s="1128" t="s">
        <v>119</v>
      </c>
      <c r="E11" s="1128" t="s">
        <v>10</v>
      </c>
      <c r="F11" s="1128" t="s">
        <v>495</v>
      </c>
      <c r="G11" s="1128" t="s">
        <v>10</v>
      </c>
      <c r="H11" s="1128" t="s">
        <v>496</v>
      </c>
      <c r="I11" s="1128" t="s">
        <v>10</v>
      </c>
      <c r="J11" s="1128" t="s">
        <v>120</v>
      </c>
      <c r="K11" s="1128" t="s">
        <v>12</v>
      </c>
      <c r="L11" s="1128" t="s">
        <v>10</v>
      </c>
      <c r="M11" s="1334"/>
      <c r="N11" s="1335"/>
      <c r="P11" s="769" t="s">
        <v>12</v>
      </c>
      <c r="Q11" s="769" t="s">
        <v>10</v>
      </c>
    </row>
    <row r="12" spans="1:18">
      <c r="A12" s="249"/>
      <c r="B12" s="1341"/>
      <c r="C12" s="1341"/>
      <c r="D12" s="1129" t="s">
        <v>13</v>
      </c>
      <c r="E12" s="1129" t="s">
        <v>14</v>
      </c>
      <c r="F12" s="1129" t="s">
        <v>15</v>
      </c>
      <c r="G12" s="1129" t="s">
        <v>16</v>
      </c>
      <c r="H12" s="1129" t="s">
        <v>17</v>
      </c>
      <c r="I12" s="1129" t="s">
        <v>18</v>
      </c>
      <c r="J12" s="1129" t="s">
        <v>19</v>
      </c>
      <c r="K12" s="1129" t="s">
        <v>20</v>
      </c>
      <c r="L12" s="1129" t="s">
        <v>21</v>
      </c>
      <c r="M12" s="1129" t="s">
        <v>22</v>
      </c>
      <c r="N12" s="1130" t="s">
        <v>23</v>
      </c>
      <c r="P12" s="768" t="s">
        <v>20</v>
      </c>
      <c r="Q12" s="768" t="s">
        <v>21</v>
      </c>
    </row>
    <row r="13" spans="1:18" ht="20.25" customHeight="1">
      <c r="A13" s="249"/>
      <c r="B13" s="1329" t="s">
        <v>32</v>
      </c>
      <c r="C13" s="1329"/>
      <c r="D13" s="770"/>
      <c r="E13" s="770"/>
      <c r="F13" s="770"/>
      <c r="G13" s="770"/>
      <c r="H13" s="770"/>
      <c r="I13" s="770"/>
      <c r="J13" s="770"/>
      <c r="K13" s="770"/>
      <c r="L13" s="770"/>
      <c r="M13" s="770"/>
      <c r="N13" s="431"/>
      <c r="P13" s="770"/>
      <c r="Q13" s="770"/>
    </row>
    <row r="14" spans="1:18" ht="20.25" customHeight="1">
      <c r="A14" s="249"/>
      <c r="B14" s="250" t="s">
        <v>25</v>
      </c>
      <c r="C14" s="251" t="s">
        <v>26</v>
      </c>
      <c r="D14" s="770"/>
      <c r="E14" s="770"/>
      <c r="F14" s="770"/>
      <c r="G14" s="770"/>
      <c r="H14" s="770"/>
      <c r="I14" s="770"/>
      <c r="J14" s="770"/>
      <c r="K14" s="770"/>
      <c r="L14" s="770"/>
      <c r="M14" s="770"/>
      <c r="N14" s="431"/>
      <c r="O14" s="252"/>
      <c r="P14" s="770"/>
      <c r="Q14" s="770"/>
    </row>
    <row r="15" spans="1:18" ht="20.25" customHeight="1">
      <c r="A15" s="249"/>
      <c r="B15" s="253" t="s">
        <v>34</v>
      </c>
      <c r="C15" s="254" t="s">
        <v>35</v>
      </c>
      <c r="D15" s="255">
        <v>695375308</v>
      </c>
      <c r="E15" s="344">
        <f>D15/D22*100</f>
        <v>40.672067251925782</v>
      </c>
      <c r="F15" s="255">
        <v>715336000</v>
      </c>
      <c r="G15" s="439">
        <f>F15/F22*100</f>
        <v>43.756789821384878</v>
      </c>
      <c r="H15" s="255">
        <v>715336000</v>
      </c>
      <c r="I15" s="256">
        <f>(H15/F15)*100</f>
        <v>100</v>
      </c>
      <c r="J15" s="255">
        <f>H15-F15</f>
        <v>0</v>
      </c>
      <c r="K15" s="255">
        <v>246002787</v>
      </c>
      <c r="L15" s="257">
        <f>(K15/H15)*100</f>
        <v>34.389823383696609</v>
      </c>
      <c r="M15" s="255">
        <f>H15-K15</f>
        <v>469333213</v>
      </c>
      <c r="N15" s="432">
        <f>(K15/H15)*100</f>
        <v>34.389823383696609</v>
      </c>
      <c r="O15" s="258"/>
      <c r="P15" s="255">
        <v>695375308</v>
      </c>
      <c r="Q15" s="257">
        <f>(P15/M15)*100</f>
        <v>148.16239054447655</v>
      </c>
      <c r="R15" s="259">
        <f>D15-P15</f>
        <v>0</v>
      </c>
    </row>
    <row r="16" spans="1:18" ht="20.25" customHeight="1">
      <c r="A16" s="249"/>
      <c r="B16" s="253" t="s">
        <v>36</v>
      </c>
      <c r="C16" s="254" t="s">
        <v>37</v>
      </c>
      <c r="D16" s="255">
        <v>114015591</v>
      </c>
      <c r="E16" s="344">
        <f>D16/D22*100</f>
        <v>6.6687006736800374</v>
      </c>
      <c r="F16" s="255">
        <v>119300000</v>
      </c>
      <c r="G16" s="344">
        <f>F16/F22*100</f>
        <v>7.2975287496941519</v>
      </c>
      <c r="H16" s="255">
        <v>119300000</v>
      </c>
      <c r="I16" s="256">
        <f t="shared" ref="I16:I29" si="0">(H16/F16)*100</f>
        <v>100</v>
      </c>
      <c r="J16" s="255">
        <f t="shared" ref="J16:J21" si="1">H16-F16</f>
        <v>0</v>
      </c>
      <c r="K16" s="255">
        <v>40384161</v>
      </c>
      <c r="L16" s="257">
        <f t="shared" ref="L16:L29" si="2">(K16/H16)*100</f>
        <v>33.850931265716682</v>
      </c>
      <c r="M16" s="255">
        <f t="shared" ref="M16:M24" si="3">H16-K16</f>
        <v>78915839</v>
      </c>
      <c r="N16" s="432">
        <f>(K16/H16)*100</f>
        <v>33.850931265716682</v>
      </c>
      <c r="O16" s="252"/>
      <c r="P16" s="255">
        <v>114015591</v>
      </c>
      <c r="Q16" s="257">
        <f>(P16/M16)*100</f>
        <v>144.47744894405798</v>
      </c>
      <c r="R16" s="259">
        <f t="shared" ref="R16:R30" si="4">D16-P16</f>
        <v>0</v>
      </c>
    </row>
    <row r="17" spans="1:18" ht="20.25" customHeight="1">
      <c r="A17" s="249"/>
      <c r="B17" s="253" t="s">
        <v>38</v>
      </c>
      <c r="C17" s="254" t="s">
        <v>39</v>
      </c>
      <c r="D17" s="255">
        <v>895915200</v>
      </c>
      <c r="E17" s="344">
        <f>D17/D22*100</f>
        <v>52.401520225424136</v>
      </c>
      <c r="F17" s="255">
        <v>798164000</v>
      </c>
      <c r="G17" s="344">
        <f>F17/F22*100</f>
        <v>48.823342304869101</v>
      </c>
      <c r="H17" s="255">
        <v>798164000</v>
      </c>
      <c r="I17" s="256">
        <f t="shared" si="0"/>
        <v>100</v>
      </c>
      <c r="J17" s="255">
        <f t="shared" si="1"/>
        <v>0</v>
      </c>
      <c r="K17" s="255">
        <v>164866449</v>
      </c>
      <c r="L17" s="257">
        <f t="shared" si="2"/>
        <v>20.655710981703006</v>
      </c>
      <c r="M17" s="255">
        <f t="shared" si="3"/>
        <v>633297551</v>
      </c>
      <c r="N17" s="432">
        <f>(K17/H17)*100</f>
        <v>20.655710981703006</v>
      </c>
      <c r="O17" s="258"/>
      <c r="P17" s="255">
        <v>895915200</v>
      </c>
      <c r="Q17" s="257">
        <f>(P17/M17)*100</f>
        <v>141.46828747171327</v>
      </c>
      <c r="R17" s="259">
        <f t="shared" si="4"/>
        <v>0</v>
      </c>
    </row>
    <row r="18" spans="1:18" ht="20.25" customHeight="1">
      <c r="A18" s="249"/>
      <c r="B18" s="253" t="s">
        <v>40</v>
      </c>
      <c r="C18" s="254" t="s">
        <v>41</v>
      </c>
      <c r="D18" s="255">
        <v>0</v>
      </c>
      <c r="E18" s="344">
        <f>D18/D22*100</f>
        <v>0</v>
      </c>
      <c r="F18" s="255"/>
      <c r="G18" s="344">
        <f>F18/F22*100</f>
        <v>0</v>
      </c>
      <c r="H18" s="255"/>
      <c r="I18" s="256"/>
      <c r="J18" s="255">
        <f t="shared" si="1"/>
        <v>0</v>
      </c>
      <c r="K18" s="255"/>
      <c r="L18" s="257"/>
      <c r="M18" s="255">
        <f t="shared" si="3"/>
        <v>0</v>
      </c>
      <c r="N18" s="432"/>
      <c r="O18" s="252"/>
      <c r="P18" s="255">
        <v>0</v>
      </c>
      <c r="Q18" s="257"/>
      <c r="R18" s="259">
        <f t="shared" si="4"/>
        <v>0</v>
      </c>
    </row>
    <row r="19" spans="1:18" ht="20.25" customHeight="1">
      <c r="A19" s="249"/>
      <c r="B19" s="253" t="s">
        <v>42</v>
      </c>
      <c r="C19" s="254" t="s">
        <v>43</v>
      </c>
      <c r="D19" s="255">
        <v>0</v>
      </c>
      <c r="E19" s="344">
        <f>D19/D22*100</f>
        <v>0</v>
      </c>
      <c r="F19" s="255"/>
      <c r="G19" s="344">
        <f>F19/F22*100</f>
        <v>0</v>
      </c>
      <c r="H19" s="255"/>
      <c r="I19" s="256"/>
      <c r="J19" s="255">
        <f t="shared" si="1"/>
        <v>0</v>
      </c>
      <c r="K19" s="255"/>
      <c r="L19" s="257"/>
      <c r="M19" s="255">
        <f t="shared" si="3"/>
        <v>0</v>
      </c>
      <c r="N19" s="432"/>
      <c r="O19" s="252"/>
      <c r="P19" s="255">
        <v>0</v>
      </c>
      <c r="Q19" s="257"/>
      <c r="R19" s="259">
        <f t="shared" si="4"/>
        <v>0</v>
      </c>
    </row>
    <row r="20" spans="1:18" ht="20.25" customHeight="1">
      <c r="A20" s="249"/>
      <c r="B20" s="253" t="s">
        <v>44</v>
      </c>
      <c r="C20" s="254" t="s">
        <v>45</v>
      </c>
      <c r="D20" s="255">
        <v>0</v>
      </c>
      <c r="E20" s="344">
        <f>D20/D22*100</f>
        <v>0</v>
      </c>
      <c r="F20" s="255"/>
      <c r="G20" s="344">
        <f>F20/F22*100</f>
        <v>0</v>
      </c>
      <c r="H20" s="255"/>
      <c r="I20" s="256"/>
      <c r="J20" s="255">
        <f t="shared" si="1"/>
        <v>0</v>
      </c>
      <c r="K20" s="255"/>
      <c r="L20" s="257"/>
      <c r="M20" s="255">
        <f t="shared" si="3"/>
        <v>0</v>
      </c>
      <c r="N20" s="432"/>
      <c r="O20" s="252"/>
      <c r="P20" s="255">
        <v>0</v>
      </c>
      <c r="Q20" s="257"/>
      <c r="R20" s="259">
        <f t="shared" si="4"/>
        <v>0</v>
      </c>
    </row>
    <row r="21" spans="1:18" ht="20.25" customHeight="1">
      <c r="A21" s="249"/>
      <c r="B21" s="253" t="s">
        <v>46</v>
      </c>
      <c r="C21" s="254" t="s">
        <v>47</v>
      </c>
      <c r="D21" s="255">
        <v>4406131</v>
      </c>
      <c r="E21" s="344">
        <f>D21/D22*100</f>
        <v>0.25771184897004568</v>
      </c>
      <c r="F21" s="255">
        <v>2000000</v>
      </c>
      <c r="G21" s="344">
        <f>F21/F22*100</f>
        <v>0.12233912405187179</v>
      </c>
      <c r="H21" s="255">
        <v>2000000</v>
      </c>
      <c r="I21" s="256">
        <f t="shared" si="0"/>
        <v>100</v>
      </c>
      <c r="J21" s="255">
        <f t="shared" si="1"/>
        <v>0</v>
      </c>
      <c r="K21" s="255">
        <v>789646</v>
      </c>
      <c r="L21" s="257">
        <f t="shared" si="2"/>
        <v>39.482299999999995</v>
      </c>
      <c r="M21" s="255">
        <f t="shared" si="3"/>
        <v>1210354</v>
      </c>
      <c r="N21" s="432">
        <f>(K21/H21)*100</f>
        <v>39.482299999999995</v>
      </c>
      <c r="P21" s="255">
        <v>4406131</v>
      </c>
      <c r="Q21" s="257">
        <f>(P21/M21)*100</f>
        <v>364.03655459477147</v>
      </c>
      <c r="R21" s="259">
        <f t="shared" si="4"/>
        <v>0</v>
      </c>
    </row>
    <row r="22" spans="1:18" ht="20.25" customHeight="1">
      <c r="A22" s="249"/>
      <c r="B22" s="281"/>
      <c r="C22" s="282" t="s">
        <v>121</v>
      </c>
      <c r="D22" s="213">
        <f>SUM(D15:D21)</f>
        <v>1709712230</v>
      </c>
      <c r="E22" s="283">
        <f>D22/D30*100</f>
        <v>89.843137064696307</v>
      </c>
      <c r="F22" s="213">
        <f>SUM(F15:F21)</f>
        <v>1634800000</v>
      </c>
      <c r="G22" s="283">
        <f>F22/F30*100</f>
        <v>76.578602210979952</v>
      </c>
      <c r="H22" s="213">
        <f>SUM(H15:H21)</f>
        <v>1634800000</v>
      </c>
      <c r="I22" s="283">
        <f t="shared" si="0"/>
        <v>100</v>
      </c>
      <c r="J22" s="213">
        <f>SUM(J15:J21)</f>
        <v>0</v>
      </c>
      <c r="K22" s="213">
        <f>SUM(K15:K21)</f>
        <v>452043043</v>
      </c>
      <c r="L22" s="283">
        <f t="shared" si="2"/>
        <v>27.651274957181304</v>
      </c>
      <c r="M22" s="213">
        <f>SUM(M15:M21)</f>
        <v>1182756957</v>
      </c>
      <c r="N22" s="433">
        <f>(K22/H22)*100</f>
        <v>27.651274957181304</v>
      </c>
      <c r="P22" s="213">
        <f>SUM(P15:P21)</f>
        <v>1709712230</v>
      </c>
      <c r="Q22" s="283">
        <f>(P22/M22)*100</f>
        <v>144.55313239810434</v>
      </c>
      <c r="R22" s="259">
        <f t="shared" si="4"/>
        <v>0</v>
      </c>
    </row>
    <row r="23" spans="1:18" ht="20.25" customHeight="1">
      <c r="A23" s="249"/>
      <c r="B23" s="210" t="s">
        <v>49</v>
      </c>
      <c r="C23" s="211" t="s">
        <v>50</v>
      </c>
      <c r="D23" s="209">
        <v>0</v>
      </c>
      <c r="E23" s="212">
        <f>D23/D25*100</f>
        <v>0</v>
      </c>
      <c r="F23" s="209">
        <v>0</v>
      </c>
      <c r="G23" s="212"/>
      <c r="H23" s="209">
        <v>0</v>
      </c>
      <c r="I23" s="212"/>
      <c r="J23" s="209">
        <v>0</v>
      </c>
      <c r="K23" s="209">
        <v>0</v>
      </c>
      <c r="L23" s="212"/>
      <c r="M23" s="209">
        <f t="shared" si="3"/>
        <v>0</v>
      </c>
      <c r="N23" s="434"/>
      <c r="P23" s="209">
        <v>0</v>
      </c>
      <c r="Q23" s="212"/>
      <c r="R23" s="259">
        <f t="shared" si="4"/>
        <v>0</v>
      </c>
    </row>
    <row r="24" spans="1:18" ht="20.25" customHeight="1">
      <c r="A24" s="249"/>
      <c r="B24" s="210" t="s">
        <v>51</v>
      </c>
      <c r="C24" s="211" t="s">
        <v>52</v>
      </c>
      <c r="D24" s="209">
        <v>193284800</v>
      </c>
      <c r="E24" s="212">
        <f>D24/D25*100</f>
        <v>100</v>
      </c>
      <c r="F24" s="209">
        <v>500000000</v>
      </c>
      <c r="G24" s="212"/>
      <c r="H24" s="209">
        <v>500000000</v>
      </c>
      <c r="I24" s="212">
        <f t="shared" si="0"/>
        <v>100</v>
      </c>
      <c r="J24" s="209">
        <f>H24-F24</f>
        <v>0</v>
      </c>
      <c r="K24" s="209">
        <v>2456160</v>
      </c>
      <c r="L24" s="212">
        <f t="shared" si="2"/>
        <v>0.49123200000000006</v>
      </c>
      <c r="M24" s="209">
        <f t="shared" si="3"/>
        <v>497543840</v>
      </c>
      <c r="N24" s="627">
        <f>(K24/H24)*100</f>
        <v>0.49123200000000006</v>
      </c>
      <c r="P24" s="209">
        <v>193284800</v>
      </c>
      <c r="Q24" s="212">
        <f>(P24/M24)*100</f>
        <v>38.847792789475598</v>
      </c>
      <c r="R24" s="259">
        <f t="shared" si="4"/>
        <v>0</v>
      </c>
    </row>
    <row r="25" spans="1:18" ht="20.25" customHeight="1">
      <c r="A25" s="249"/>
      <c r="B25" s="281"/>
      <c r="C25" s="282" t="s">
        <v>122</v>
      </c>
      <c r="D25" s="213">
        <f>D23+D24</f>
        <v>193284800</v>
      </c>
      <c r="E25" s="213">
        <f>D25/D30*100</f>
        <v>10.156862935303687</v>
      </c>
      <c r="F25" s="213">
        <f>F23+F24</f>
        <v>500000000</v>
      </c>
      <c r="G25" s="213">
        <f>F25/F30*100</f>
        <v>23.421397789020048</v>
      </c>
      <c r="H25" s="213">
        <f>H23+H24</f>
        <v>500000000</v>
      </c>
      <c r="I25" s="213">
        <f t="shared" si="0"/>
        <v>100</v>
      </c>
      <c r="J25" s="213">
        <f>J23+J24</f>
        <v>0</v>
      </c>
      <c r="K25" s="213">
        <f>K23+K24</f>
        <v>2456160</v>
      </c>
      <c r="L25" s="213">
        <f t="shared" si="2"/>
        <v>0.49123200000000006</v>
      </c>
      <c r="M25" s="213">
        <f>M23+M24</f>
        <v>497543840</v>
      </c>
      <c r="N25" s="620">
        <f>(K25/H25)*100</f>
        <v>0.49123200000000006</v>
      </c>
      <c r="P25" s="213">
        <f>P23+P24</f>
        <v>193284800</v>
      </c>
      <c r="Q25" s="213">
        <f>(P25/M25)*100</f>
        <v>38.847792789475598</v>
      </c>
      <c r="R25" s="259">
        <f t="shared" si="4"/>
        <v>0</v>
      </c>
    </row>
    <row r="26" spans="1:18" ht="20.25" customHeight="1">
      <c r="A26" s="249"/>
      <c r="B26" s="210" t="s">
        <v>49</v>
      </c>
      <c r="C26" s="211" t="s">
        <v>50</v>
      </c>
      <c r="D26" s="209">
        <v>0</v>
      </c>
      <c r="E26" s="209">
        <f>D26/D29*100</f>
        <v>0</v>
      </c>
      <c r="F26" s="209">
        <v>0</v>
      </c>
      <c r="G26" s="209"/>
      <c r="H26" s="209">
        <v>0</v>
      </c>
      <c r="I26" s="209"/>
      <c r="J26" s="209">
        <v>0</v>
      </c>
      <c r="K26" s="209">
        <v>0</v>
      </c>
      <c r="L26" s="209"/>
      <c r="M26" s="209">
        <v>0</v>
      </c>
      <c r="N26" s="435"/>
      <c r="P26" s="209">
        <v>0</v>
      </c>
      <c r="Q26" s="209"/>
      <c r="R26" s="259">
        <f t="shared" si="4"/>
        <v>0</v>
      </c>
    </row>
    <row r="27" spans="1:18" ht="20.25" customHeight="1">
      <c r="A27" s="249"/>
      <c r="B27" s="210" t="s">
        <v>51</v>
      </c>
      <c r="C27" s="211" t="s">
        <v>52</v>
      </c>
      <c r="D27" s="209">
        <v>0</v>
      </c>
      <c r="E27" s="209">
        <f>D27/D30*100</f>
        <v>0</v>
      </c>
      <c r="F27" s="209"/>
      <c r="G27" s="209"/>
      <c r="H27" s="209"/>
      <c r="I27" s="209"/>
      <c r="J27" s="209">
        <v>0</v>
      </c>
      <c r="K27" s="209">
        <v>0</v>
      </c>
      <c r="L27" s="209"/>
      <c r="M27" s="209">
        <v>0</v>
      </c>
      <c r="N27" s="435"/>
      <c r="P27" s="209">
        <v>0</v>
      </c>
      <c r="Q27" s="209"/>
      <c r="R27" s="259">
        <f t="shared" si="4"/>
        <v>0</v>
      </c>
    </row>
    <row r="28" spans="1:18" ht="20.25" customHeight="1">
      <c r="A28" s="249"/>
      <c r="B28" s="422"/>
      <c r="C28" s="423" t="s">
        <v>123</v>
      </c>
      <c r="D28" s="424">
        <v>0</v>
      </c>
      <c r="E28" s="424">
        <f>D28/D30*100</f>
        <v>0</v>
      </c>
      <c r="F28" s="424">
        <v>0</v>
      </c>
      <c r="G28" s="424"/>
      <c r="H28" s="424">
        <v>0</v>
      </c>
      <c r="I28" s="424"/>
      <c r="J28" s="424">
        <v>0</v>
      </c>
      <c r="K28" s="424">
        <v>0</v>
      </c>
      <c r="L28" s="424"/>
      <c r="M28" s="424">
        <v>0</v>
      </c>
      <c r="N28" s="436"/>
      <c r="P28" s="214">
        <v>0</v>
      </c>
      <c r="Q28" s="214"/>
      <c r="R28" s="259">
        <f t="shared" si="4"/>
        <v>0</v>
      </c>
    </row>
    <row r="29" spans="1:18" ht="20.25" customHeight="1">
      <c r="A29" s="249"/>
      <c r="B29" s="285"/>
      <c r="C29" s="286" t="s">
        <v>124</v>
      </c>
      <c r="D29" s="214">
        <f>D25+D28</f>
        <v>193284800</v>
      </c>
      <c r="E29" s="214">
        <f>D29/D30*100</f>
        <v>10.156862935303687</v>
      </c>
      <c r="F29" s="214">
        <f>F25+F28</f>
        <v>500000000</v>
      </c>
      <c r="G29" s="214"/>
      <c r="H29" s="214">
        <f>H25+H28</f>
        <v>500000000</v>
      </c>
      <c r="I29" s="214">
        <f t="shared" si="0"/>
        <v>100</v>
      </c>
      <c r="J29" s="209">
        <f>J25+J28</f>
        <v>0</v>
      </c>
      <c r="K29" s="214">
        <v>2456160</v>
      </c>
      <c r="L29" s="214">
        <f t="shared" si="2"/>
        <v>0.49123200000000006</v>
      </c>
      <c r="M29" s="214">
        <f>M25+M28</f>
        <v>497543840</v>
      </c>
      <c r="N29" s="437">
        <f>(K29/H29)*100</f>
        <v>0.49123200000000006</v>
      </c>
      <c r="P29" s="214">
        <f>P25+P28</f>
        <v>193284800</v>
      </c>
      <c r="Q29" s="214">
        <f>(P29/M29)*100</f>
        <v>38.847792789475598</v>
      </c>
      <c r="R29" s="259">
        <f t="shared" si="4"/>
        <v>0</v>
      </c>
    </row>
    <row r="30" spans="1:18" ht="20.25" customHeight="1">
      <c r="A30" s="249"/>
      <c r="B30" s="281"/>
      <c r="C30" s="282" t="s">
        <v>125</v>
      </c>
      <c r="D30" s="213">
        <v>1902997030</v>
      </c>
      <c r="E30" s="213">
        <v>100</v>
      </c>
      <c r="F30" s="213">
        <v>2134800000</v>
      </c>
      <c r="G30" s="213">
        <v>100</v>
      </c>
      <c r="H30" s="213">
        <v>2134800000</v>
      </c>
      <c r="I30" s="213">
        <v>100</v>
      </c>
      <c r="J30" s="213">
        <v>0</v>
      </c>
      <c r="K30" s="213">
        <v>454499203</v>
      </c>
      <c r="L30" s="213">
        <v>21.290013256511148</v>
      </c>
      <c r="M30" s="213">
        <v>1680300797</v>
      </c>
      <c r="N30" s="433">
        <v>21.290013256511148</v>
      </c>
      <c r="P30" s="213">
        <f>P29+P22</f>
        <v>1902997030</v>
      </c>
      <c r="Q30" s="213">
        <f>(P30/M30)*100</f>
        <v>113.25335519673625</v>
      </c>
      <c r="R30" s="259">
        <f t="shared" si="4"/>
        <v>0</v>
      </c>
    </row>
  </sheetData>
  <mergeCells count="20">
    <mergeCell ref="K10:L10"/>
    <mergeCell ref="M10:M11"/>
    <mergeCell ref="N10:N11"/>
    <mergeCell ref="P10:Q10"/>
    <mergeCell ref="B2:N2"/>
    <mergeCell ref="B3:N3"/>
    <mergeCell ref="B4:N4"/>
    <mergeCell ref="C8:E8"/>
    <mergeCell ref="F8:G8"/>
    <mergeCell ref="H8:N8"/>
    <mergeCell ref="B9:C12"/>
    <mergeCell ref="D9:N9"/>
    <mergeCell ref="F10:G10"/>
    <mergeCell ref="H10:I10"/>
    <mergeCell ref="H6:N7"/>
    <mergeCell ref="B13:C13"/>
    <mergeCell ref="A5:A6"/>
    <mergeCell ref="B6:B7"/>
    <mergeCell ref="C6:E7"/>
    <mergeCell ref="F6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59999389629810485"/>
  </sheetPr>
  <dimension ref="A1:N35"/>
  <sheetViews>
    <sheetView workbookViewId="0">
      <pane xSplit="5" ySplit="1" topLeftCell="F2" activePane="bottomRight" state="frozen"/>
      <selection pane="topRight" activeCell="F1" sqref="F1"/>
      <selection pane="bottomLeft" activeCell="A13" sqref="A13"/>
      <selection pane="bottomRight" activeCell="O34" sqref="O34"/>
    </sheetView>
  </sheetViews>
  <sheetFormatPr defaultRowHeight="11.25"/>
  <cols>
    <col min="1" max="1" width="3.28515625" style="206" customWidth="1"/>
    <col min="2" max="2" width="11.42578125" style="206" customWidth="1"/>
    <col min="3" max="3" width="43.42578125" style="206" customWidth="1"/>
    <col min="4" max="4" width="16.140625" style="206" customWidth="1"/>
    <col min="5" max="5" width="14.28515625" style="206" customWidth="1"/>
    <col min="6" max="6" width="13" style="206" customWidth="1"/>
    <col min="7" max="7" width="8.85546875" style="206" customWidth="1"/>
    <col min="8" max="8" width="17.28515625" style="206" customWidth="1"/>
    <col min="9" max="9" width="9" style="206" customWidth="1"/>
    <col min="10" max="10" width="13.42578125" style="206" customWidth="1"/>
    <col min="11" max="11" width="15" style="206" customWidth="1"/>
    <col min="12" max="12" width="5.5703125" style="206" customWidth="1"/>
    <col min="13" max="13" width="14.85546875" style="206" customWidth="1"/>
    <col min="14" max="14" width="7.7109375" style="290" customWidth="1"/>
    <col min="15" max="16384" width="9.140625" style="206"/>
  </cols>
  <sheetData>
    <row r="1" spans="1:14">
      <c r="A1" s="363"/>
      <c r="B1" s="771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</row>
    <row r="2" spans="1:14">
      <c r="A2" s="363"/>
      <c r="B2" s="1344" t="s">
        <v>112</v>
      </c>
      <c r="C2" s="1344"/>
      <c r="D2" s="1344"/>
      <c r="E2" s="1344"/>
      <c r="F2" s="1344"/>
      <c r="G2" s="1344"/>
      <c r="H2" s="1344"/>
      <c r="I2" s="1344"/>
      <c r="J2" s="1344"/>
      <c r="K2" s="1344"/>
      <c r="L2" s="1344"/>
      <c r="M2" s="1344"/>
      <c r="N2" s="1344"/>
    </row>
    <row r="3" spans="1:14">
      <c r="A3" s="363"/>
      <c r="B3" s="1345" t="s">
        <v>498</v>
      </c>
      <c r="C3" s="1345"/>
      <c r="D3" s="1345"/>
      <c r="E3" s="1345"/>
      <c r="F3" s="1345"/>
      <c r="G3" s="1345"/>
      <c r="H3" s="1345"/>
      <c r="I3" s="1345"/>
      <c r="J3" s="1345"/>
      <c r="K3" s="1345"/>
      <c r="L3" s="1345"/>
      <c r="M3" s="1345"/>
      <c r="N3" s="1345"/>
    </row>
    <row r="4" spans="1:14">
      <c r="A4" s="363"/>
      <c r="B4" s="1346" t="s">
        <v>1</v>
      </c>
      <c r="C4" s="1346"/>
      <c r="D4" s="1346"/>
      <c r="E4" s="1346"/>
      <c r="F4" s="1346"/>
      <c r="G4" s="1346"/>
      <c r="H4" s="1346"/>
      <c r="I4" s="1346"/>
      <c r="J4" s="1346"/>
      <c r="K4" s="1346"/>
      <c r="L4" s="1346"/>
      <c r="M4" s="1346"/>
      <c r="N4" s="1346"/>
    </row>
    <row r="5" spans="1:14" ht="12" thickBot="1">
      <c r="A5" s="1351"/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</row>
    <row r="6" spans="1:14" ht="12.75" customHeight="1" thickTop="1" thickBot="1">
      <c r="A6" s="1351"/>
      <c r="B6" s="1352" t="s">
        <v>113</v>
      </c>
      <c r="C6" s="1354" t="s">
        <v>160</v>
      </c>
      <c r="D6" s="1354"/>
      <c r="E6" s="1354"/>
      <c r="F6" s="1355" t="s">
        <v>3</v>
      </c>
      <c r="G6" s="1355"/>
      <c r="H6" s="1343" t="s">
        <v>179</v>
      </c>
      <c r="I6" s="1343"/>
      <c r="J6" s="1343"/>
      <c r="K6" s="1343"/>
      <c r="L6" s="1343"/>
      <c r="M6" s="1343"/>
      <c r="N6" s="1343"/>
    </row>
    <row r="7" spans="1:14" ht="12" customHeight="1" thickTop="1">
      <c r="A7" s="363"/>
      <c r="B7" s="1353"/>
      <c r="C7" s="1354"/>
      <c r="D7" s="1354"/>
      <c r="E7" s="1354"/>
      <c r="F7" s="1355"/>
      <c r="G7" s="1355"/>
      <c r="H7" s="1343"/>
      <c r="I7" s="1343"/>
      <c r="J7" s="1343"/>
      <c r="K7" s="1343"/>
      <c r="L7" s="1343"/>
      <c r="M7" s="1343"/>
      <c r="N7" s="1343"/>
    </row>
    <row r="8" spans="1:14">
      <c r="A8" s="363"/>
      <c r="B8" s="364" t="s">
        <v>114</v>
      </c>
      <c r="C8" s="1347" t="s">
        <v>154</v>
      </c>
      <c r="D8" s="1347"/>
      <c r="E8" s="1347"/>
      <c r="F8" s="1348" t="s">
        <v>115</v>
      </c>
      <c r="G8" s="1348"/>
      <c r="H8" s="1349" t="s">
        <v>153</v>
      </c>
      <c r="I8" s="1349"/>
      <c r="J8" s="1349"/>
      <c r="K8" s="1349"/>
      <c r="L8" s="1349"/>
      <c r="M8" s="1349"/>
      <c r="N8" s="1349"/>
    </row>
    <row r="9" spans="1:14" ht="12" thickBot="1">
      <c r="A9" s="363"/>
      <c r="B9" s="1356" t="s">
        <v>4</v>
      </c>
      <c r="C9" s="1356"/>
      <c r="D9" s="1357" t="s">
        <v>116</v>
      </c>
      <c r="E9" s="1357"/>
      <c r="F9" s="1357"/>
      <c r="G9" s="1357"/>
      <c r="H9" s="1357"/>
      <c r="I9" s="1357"/>
      <c r="J9" s="1357"/>
      <c r="K9" s="1357"/>
      <c r="L9" s="1357"/>
      <c r="M9" s="1357"/>
      <c r="N9" s="1357"/>
    </row>
    <row r="10" spans="1:14" ht="22.5" customHeight="1" thickTop="1" thickBot="1">
      <c r="A10" s="363"/>
      <c r="B10" s="1356"/>
      <c r="C10" s="1356"/>
      <c r="D10" s="1361" t="s">
        <v>499</v>
      </c>
      <c r="E10" s="1362"/>
      <c r="F10" s="1358" t="s">
        <v>6</v>
      </c>
      <c r="G10" s="1358"/>
      <c r="H10" s="1358" t="s">
        <v>6</v>
      </c>
      <c r="I10" s="1358"/>
      <c r="J10" s="365" t="s">
        <v>6</v>
      </c>
      <c r="K10" s="1358" t="s">
        <v>6</v>
      </c>
      <c r="L10" s="1358"/>
      <c r="M10" s="1359" t="s">
        <v>118</v>
      </c>
      <c r="N10" s="1360" t="s">
        <v>8</v>
      </c>
    </row>
    <row r="11" spans="1:14" ht="57.75" thickTop="1" thickBot="1">
      <c r="A11" s="363"/>
      <c r="B11" s="1356"/>
      <c r="C11" s="1356"/>
      <c r="D11" s="366" t="s">
        <v>119</v>
      </c>
      <c r="E11" s="367" t="s">
        <v>10</v>
      </c>
      <c r="F11" s="368" t="s">
        <v>495</v>
      </c>
      <c r="G11" s="369" t="s">
        <v>10</v>
      </c>
      <c r="H11" s="368" t="s">
        <v>146</v>
      </c>
      <c r="I11" s="369" t="s">
        <v>10</v>
      </c>
      <c r="J11" s="370" t="s">
        <v>120</v>
      </c>
      <c r="K11" s="368" t="s">
        <v>258</v>
      </c>
      <c r="L11" s="369" t="s">
        <v>10</v>
      </c>
      <c r="M11" s="1359"/>
      <c r="N11" s="1360"/>
    </row>
    <row r="12" spans="1:14" ht="12.75" thickTop="1" thickBot="1">
      <c r="A12" s="363"/>
      <c r="B12" s="1356"/>
      <c r="C12" s="1356"/>
      <c r="D12" s="371" t="s">
        <v>13</v>
      </c>
      <c r="E12" s="371" t="s">
        <v>14</v>
      </c>
      <c r="F12" s="371" t="s">
        <v>15</v>
      </c>
      <c r="G12" s="371" t="s">
        <v>16</v>
      </c>
      <c r="H12" s="371" t="s">
        <v>17</v>
      </c>
      <c r="I12" s="371" t="s">
        <v>18</v>
      </c>
      <c r="J12" s="371" t="s">
        <v>19</v>
      </c>
      <c r="K12" s="371" t="s">
        <v>20</v>
      </c>
      <c r="L12" s="371" t="s">
        <v>21</v>
      </c>
      <c r="M12" s="371" t="s">
        <v>22</v>
      </c>
      <c r="N12" s="372" t="s">
        <v>23</v>
      </c>
    </row>
    <row r="13" spans="1:14" ht="12" thickTop="1">
      <c r="A13" s="363"/>
      <c r="B13" s="1350" t="s">
        <v>32</v>
      </c>
      <c r="C13" s="1350"/>
      <c r="D13" s="373"/>
      <c r="E13" s="374"/>
      <c r="F13" s="373"/>
      <c r="G13" s="374"/>
      <c r="H13" s="373"/>
      <c r="I13" s="374"/>
      <c r="J13" s="375"/>
      <c r="K13" s="373"/>
      <c r="L13" s="374"/>
      <c r="M13" s="373"/>
      <c r="N13" s="376"/>
    </row>
    <row r="14" spans="1:14" ht="17.25" customHeight="1">
      <c r="A14" s="363"/>
      <c r="B14" s="377" t="s">
        <v>25</v>
      </c>
      <c r="C14" s="378" t="s">
        <v>26</v>
      </c>
      <c r="D14" s="373"/>
      <c r="E14" s="374"/>
      <c r="F14" s="373"/>
      <c r="G14" s="374"/>
      <c r="H14" s="379"/>
      <c r="I14" s="374"/>
      <c r="J14" s="380"/>
      <c r="K14" s="379"/>
      <c r="L14" s="374"/>
      <c r="M14" s="373"/>
      <c r="N14" s="376"/>
    </row>
    <row r="15" spans="1:14" ht="17.25" customHeight="1">
      <c r="A15" s="363"/>
      <c r="B15" s="381" t="s">
        <v>34</v>
      </c>
      <c r="C15" s="382" t="s">
        <v>35</v>
      </c>
      <c r="D15" s="383">
        <v>478323136</v>
      </c>
      <c r="E15" s="344">
        <f>D15/D22*100</f>
        <v>50.564518993573039</v>
      </c>
      <c r="F15" s="383">
        <v>575300000</v>
      </c>
      <c r="G15" s="344">
        <f>F15/F22*100</f>
        <v>63.858363858363852</v>
      </c>
      <c r="H15" s="383">
        <v>575300000</v>
      </c>
      <c r="I15" s="344">
        <f>H15/H22*100</f>
        <v>63.858363858363852</v>
      </c>
      <c r="J15" s="358">
        <f>H15-F15</f>
        <v>0</v>
      </c>
      <c r="K15" s="383">
        <v>106092440</v>
      </c>
      <c r="L15" s="344">
        <f>K15/K22*100</f>
        <v>44.835292367412244</v>
      </c>
      <c r="M15" s="255">
        <f>H15-K15</f>
        <v>469207560</v>
      </c>
      <c r="N15" s="359">
        <f>K15/H15*100</f>
        <v>18.441237615157309</v>
      </c>
    </row>
    <row r="16" spans="1:14" ht="17.25" customHeight="1">
      <c r="A16" s="363"/>
      <c r="B16" s="381" t="s">
        <v>36</v>
      </c>
      <c r="C16" s="382" t="s">
        <v>37</v>
      </c>
      <c r="D16" s="383">
        <v>117426725</v>
      </c>
      <c r="E16" s="344">
        <f>D16/D22*100</f>
        <v>12.413419756922606</v>
      </c>
      <c r="F16" s="383">
        <v>104600000</v>
      </c>
      <c r="G16" s="344" t="e">
        <f t="shared" ref="G16:G21" si="0">F16/F23*100</f>
        <v>#DIV/0!</v>
      </c>
      <c r="H16" s="383">
        <v>104600000</v>
      </c>
      <c r="I16" s="344" t="e">
        <f t="shared" ref="I16:I21" si="1">H16/H23*100</f>
        <v>#DIV/0!</v>
      </c>
      <c r="J16" s="358">
        <f t="shared" ref="J16:J21" si="2">H16-F16</f>
        <v>0</v>
      </c>
      <c r="K16" s="383">
        <v>31861869</v>
      </c>
      <c r="L16" s="344" t="e">
        <f t="shared" ref="L16:L21" si="3">K16/K23*100</f>
        <v>#DIV/0!</v>
      </c>
      <c r="M16" s="255">
        <f t="shared" ref="M16:M21" si="4">H16-K16</f>
        <v>72738131</v>
      </c>
      <c r="N16" s="359">
        <f t="shared" ref="N16:N25" si="5">K16/H16*100</f>
        <v>30.460677820267684</v>
      </c>
    </row>
    <row r="17" spans="1:14" ht="17.25" customHeight="1">
      <c r="A17" s="363"/>
      <c r="B17" s="381" t="s">
        <v>38</v>
      </c>
      <c r="C17" s="382" t="s">
        <v>39</v>
      </c>
      <c r="D17" s="383">
        <v>100983829</v>
      </c>
      <c r="E17" s="344">
        <f>D17/D22*100</f>
        <v>10.675207522293533</v>
      </c>
      <c r="F17" s="383">
        <v>81000000</v>
      </c>
      <c r="G17" s="344">
        <f t="shared" si="0"/>
        <v>9.4515752625437575</v>
      </c>
      <c r="H17" s="383">
        <v>81000000</v>
      </c>
      <c r="I17" s="344">
        <f t="shared" si="1"/>
        <v>9.4515752625437575</v>
      </c>
      <c r="J17" s="358">
        <f t="shared" si="2"/>
        <v>0</v>
      </c>
      <c r="K17" s="383">
        <v>14003159</v>
      </c>
      <c r="L17" s="344">
        <f t="shared" si="3"/>
        <v>114.40979172637782</v>
      </c>
      <c r="M17" s="255">
        <f t="shared" si="4"/>
        <v>66996841</v>
      </c>
      <c r="N17" s="359">
        <f t="shared" si="5"/>
        <v>17.287850617283951</v>
      </c>
    </row>
    <row r="18" spans="1:14" ht="17.25" customHeight="1">
      <c r="A18" s="363"/>
      <c r="B18" s="381" t="s">
        <v>40</v>
      </c>
      <c r="C18" s="382" t="s">
        <v>41</v>
      </c>
      <c r="D18" s="383"/>
      <c r="E18" s="344">
        <f>D18/D22*100</f>
        <v>0</v>
      </c>
      <c r="F18" s="383"/>
      <c r="G18" s="344">
        <f t="shared" si="0"/>
        <v>0</v>
      </c>
      <c r="H18" s="383"/>
      <c r="I18" s="344">
        <f t="shared" si="1"/>
        <v>0</v>
      </c>
      <c r="J18" s="358">
        <f t="shared" si="2"/>
        <v>0</v>
      </c>
      <c r="K18" s="383"/>
      <c r="L18" s="344">
        <f t="shared" si="3"/>
        <v>0</v>
      </c>
      <c r="M18" s="255">
        <f t="shared" si="4"/>
        <v>0</v>
      </c>
      <c r="N18" s="359" t="e">
        <f t="shared" si="5"/>
        <v>#DIV/0!</v>
      </c>
    </row>
    <row r="19" spans="1:14" ht="17.25" customHeight="1">
      <c r="A19" s="363"/>
      <c r="B19" s="381" t="s">
        <v>42</v>
      </c>
      <c r="C19" s="382" t="s">
        <v>43</v>
      </c>
      <c r="D19" s="383"/>
      <c r="E19" s="344">
        <f>D19/D22*100</f>
        <v>0</v>
      </c>
      <c r="F19" s="383"/>
      <c r="G19" s="344" t="e">
        <f t="shared" si="0"/>
        <v>#DIV/0!</v>
      </c>
      <c r="H19" s="383"/>
      <c r="I19" s="344" t="e">
        <f t="shared" si="1"/>
        <v>#DIV/0!</v>
      </c>
      <c r="J19" s="358">
        <f t="shared" si="2"/>
        <v>0</v>
      </c>
      <c r="K19" s="383"/>
      <c r="L19" s="344" t="e">
        <f t="shared" si="3"/>
        <v>#DIV/0!</v>
      </c>
      <c r="M19" s="255">
        <f t="shared" si="4"/>
        <v>0</v>
      </c>
      <c r="N19" s="359" t="e">
        <f t="shared" si="5"/>
        <v>#DIV/0!</v>
      </c>
    </row>
    <row r="20" spans="1:14" ht="17.25" customHeight="1">
      <c r="A20" s="363"/>
      <c r="B20" s="381" t="s">
        <v>44</v>
      </c>
      <c r="C20" s="382" t="s">
        <v>45</v>
      </c>
      <c r="D20" s="383"/>
      <c r="E20" s="344">
        <f>D20/D22*100</f>
        <v>0</v>
      </c>
      <c r="F20" s="383"/>
      <c r="G20" s="344" t="e">
        <f t="shared" si="0"/>
        <v>#DIV/0!</v>
      </c>
      <c r="H20" s="383"/>
      <c r="I20" s="344" t="e">
        <f t="shared" si="1"/>
        <v>#DIV/0!</v>
      </c>
      <c r="J20" s="358">
        <f t="shared" si="2"/>
        <v>0</v>
      </c>
      <c r="K20" s="383"/>
      <c r="L20" s="344" t="e">
        <f t="shared" si="3"/>
        <v>#DIV/0!</v>
      </c>
      <c r="M20" s="255">
        <f t="shared" si="4"/>
        <v>0</v>
      </c>
      <c r="N20" s="359" t="e">
        <f t="shared" si="5"/>
        <v>#DIV/0!</v>
      </c>
    </row>
    <row r="21" spans="1:14" ht="17.25" customHeight="1">
      <c r="A21" s="363"/>
      <c r="B21" s="381" t="s">
        <v>46</v>
      </c>
      <c r="C21" s="382" t="s">
        <v>47</v>
      </c>
      <c r="D21" s="383">
        <v>249232267</v>
      </c>
      <c r="E21" s="344">
        <f>D21/D22*100</f>
        <v>26.346853727210817</v>
      </c>
      <c r="F21" s="383">
        <v>140000000</v>
      </c>
      <c r="G21" s="344" t="e">
        <f t="shared" si="0"/>
        <v>#DIV/0!</v>
      </c>
      <c r="H21" s="383">
        <v>140000000</v>
      </c>
      <c r="I21" s="344" t="e">
        <f t="shared" si="1"/>
        <v>#DIV/0!</v>
      </c>
      <c r="J21" s="358">
        <f t="shared" si="2"/>
        <v>0</v>
      </c>
      <c r="K21" s="383">
        <v>84669605</v>
      </c>
      <c r="L21" s="344" t="e">
        <f t="shared" si="3"/>
        <v>#DIV/0!</v>
      </c>
      <c r="M21" s="255">
        <f t="shared" si="4"/>
        <v>55330395</v>
      </c>
      <c r="N21" s="359">
        <f t="shared" si="5"/>
        <v>60.478289285714283</v>
      </c>
    </row>
    <row r="22" spans="1:14" ht="17.25" customHeight="1">
      <c r="A22" s="363"/>
      <c r="B22" s="281"/>
      <c r="C22" s="282" t="s">
        <v>121</v>
      </c>
      <c r="D22" s="213">
        <f>SUM(D15:D21)</f>
        <v>945965957</v>
      </c>
      <c r="E22" s="283">
        <f>D22/D32*100</f>
        <v>70.443556652910061</v>
      </c>
      <c r="F22" s="213">
        <f>SUM(F15:F21)</f>
        <v>900900000</v>
      </c>
      <c r="G22" s="283">
        <f>F22/F32*100</f>
        <v>51.248648956140855</v>
      </c>
      <c r="H22" s="213">
        <f>SUM(H15:H21)</f>
        <v>900900000</v>
      </c>
      <c r="I22" s="283">
        <f>H22/H32*100</f>
        <v>51.248648956140855</v>
      </c>
      <c r="J22" s="213">
        <f>SUM(J15:J21)</f>
        <v>0</v>
      </c>
      <c r="K22" s="213">
        <f>SUM(K15:K21)</f>
        <v>236627073</v>
      </c>
      <c r="L22" s="283">
        <f>K22/K32*100</f>
        <v>95.081911952738977</v>
      </c>
      <c r="M22" s="213">
        <f>SUM(M15:M21)</f>
        <v>664272927</v>
      </c>
      <c r="N22" s="359">
        <f t="shared" si="5"/>
        <v>26.265631368631372</v>
      </c>
    </row>
    <row r="23" spans="1:14" ht="17.25" customHeight="1">
      <c r="A23" s="363"/>
      <c r="B23" s="210" t="s">
        <v>49</v>
      </c>
      <c r="C23" s="211" t="s">
        <v>50</v>
      </c>
      <c r="D23" s="209"/>
      <c r="E23" s="212">
        <f>D23/D25*100</f>
        <v>0</v>
      </c>
      <c r="F23" s="209"/>
      <c r="G23" s="212">
        <f>F23/F25*100</f>
        <v>0</v>
      </c>
      <c r="H23" s="209"/>
      <c r="I23" s="212">
        <f>H23/H25*100</f>
        <v>0</v>
      </c>
      <c r="J23" s="209"/>
      <c r="K23" s="209"/>
      <c r="L23" s="212"/>
      <c r="M23" s="209"/>
      <c r="N23" s="212"/>
    </row>
    <row r="24" spans="1:14" ht="17.25" customHeight="1">
      <c r="A24" s="363"/>
      <c r="B24" s="210" t="s">
        <v>51</v>
      </c>
      <c r="C24" s="211" t="s">
        <v>52</v>
      </c>
      <c r="D24" s="209">
        <v>396904849</v>
      </c>
      <c r="E24" s="212">
        <v>30</v>
      </c>
      <c r="F24" s="209">
        <v>857000000</v>
      </c>
      <c r="G24" s="212">
        <v>30</v>
      </c>
      <c r="H24" s="209">
        <v>857000000</v>
      </c>
      <c r="I24" s="212">
        <v>30</v>
      </c>
      <c r="J24" s="358">
        <f>H24-F24</f>
        <v>0</v>
      </c>
      <c r="K24" s="209">
        <v>12239476</v>
      </c>
      <c r="L24" s="212"/>
      <c r="M24" s="255">
        <f>H24-K24</f>
        <v>844760524</v>
      </c>
      <c r="N24" s="622">
        <f t="shared" si="5"/>
        <v>1.4281768961493584</v>
      </c>
    </row>
    <row r="25" spans="1:14" ht="17.25" customHeight="1">
      <c r="A25" s="363"/>
      <c r="B25" s="281"/>
      <c r="C25" s="282" t="s">
        <v>122</v>
      </c>
      <c r="D25" s="213">
        <f>D23+D24</f>
        <v>396904849</v>
      </c>
      <c r="E25" s="213">
        <f>D25/D32*100</f>
        <v>29.556443347089932</v>
      </c>
      <c r="F25" s="213">
        <f>F23+F24</f>
        <v>857000000</v>
      </c>
      <c r="G25" s="213">
        <f>F25/F32*100</f>
        <v>48.751351043859145</v>
      </c>
      <c r="H25" s="213">
        <f>H23+H24</f>
        <v>857000000</v>
      </c>
      <c r="I25" s="213">
        <f>H25/H32*100</f>
        <v>48.751351043859145</v>
      </c>
      <c r="J25" s="213">
        <f>J23+J24</f>
        <v>0</v>
      </c>
      <c r="K25" s="213">
        <f>K23+K24</f>
        <v>12239476</v>
      </c>
      <c r="L25" s="213">
        <f>K25/K32*100</f>
        <v>4.9180880472610236</v>
      </c>
      <c r="M25" s="213">
        <f>M23+M24</f>
        <v>844760524</v>
      </c>
      <c r="N25" s="359">
        <f t="shared" si="5"/>
        <v>1.4281768961493584</v>
      </c>
    </row>
    <row r="26" spans="1:14" ht="17.25" customHeight="1">
      <c r="A26" s="363"/>
      <c r="B26" s="210" t="s">
        <v>49</v>
      </c>
      <c r="C26" s="211" t="s">
        <v>50</v>
      </c>
      <c r="D26" s="209"/>
      <c r="E26" s="209">
        <f>D26/D31*100</f>
        <v>0</v>
      </c>
      <c r="F26" s="209"/>
      <c r="G26" s="209"/>
      <c r="H26" s="209"/>
      <c r="I26" s="209"/>
      <c r="J26" s="209"/>
      <c r="K26" s="209"/>
      <c r="L26" s="209"/>
      <c r="M26" s="209"/>
      <c r="N26" s="216"/>
    </row>
    <row r="27" spans="1:14" ht="17.25" customHeight="1">
      <c r="A27" s="363"/>
      <c r="B27" s="210" t="s">
        <v>51</v>
      </c>
      <c r="C27" s="211" t="s">
        <v>52</v>
      </c>
      <c r="D27" s="209"/>
      <c r="E27" s="209">
        <f>D27/D32*100</f>
        <v>0</v>
      </c>
      <c r="F27" s="209"/>
      <c r="G27" s="209"/>
      <c r="H27" s="209"/>
      <c r="I27" s="209"/>
      <c r="J27" s="209"/>
      <c r="K27" s="209"/>
      <c r="L27" s="209"/>
      <c r="M27" s="209"/>
      <c r="N27" s="216"/>
    </row>
    <row r="28" spans="1:14" ht="17.25" customHeight="1">
      <c r="A28" s="363"/>
      <c r="B28" s="422"/>
      <c r="C28" s="423" t="s">
        <v>123</v>
      </c>
      <c r="D28" s="424">
        <v>0</v>
      </c>
      <c r="E28" s="424">
        <f>D28/D32*100</f>
        <v>0</v>
      </c>
      <c r="F28" s="424"/>
      <c r="G28" s="424"/>
      <c r="H28" s="424"/>
      <c r="I28" s="424"/>
      <c r="J28" s="424"/>
      <c r="K28" s="424"/>
      <c r="L28" s="424"/>
      <c r="M28" s="424"/>
      <c r="N28" s="425"/>
    </row>
    <row r="29" spans="1:14" ht="17.25" customHeight="1">
      <c r="A29" s="363"/>
      <c r="B29" s="210" t="s">
        <v>49</v>
      </c>
      <c r="C29" s="211" t="s">
        <v>50</v>
      </c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798"/>
    </row>
    <row r="30" spans="1:14" ht="17.25" customHeight="1">
      <c r="A30" s="363"/>
      <c r="B30" s="210" t="s">
        <v>51</v>
      </c>
      <c r="C30" s="211" t="s">
        <v>52</v>
      </c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798"/>
    </row>
    <row r="31" spans="1:14" ht="17.25" customHeight="1">
      <c r="A31" s="363"/>
      <c r="B31" s="285"/>
      <c r="C31" s="286" t="s">
        <v>124</v>
      </c>
      <c r="D31" s="214">
        <f>D25+D28</f>
        <v>396904849</v>
      </c>
      <c r="E31" s="214">
        <f>D31/D32*100</f>
        <v>29.556443347089932</v>
      </c>
      <c r="F31" s="214">
        <f>F25+F28</f>
        <v>857000000</v>
      </c>
      <c r="G31" s="214">
        <f>F31/F32*100</f>
        <v>48.751351043859145</v>
      </c>
      <c r="H31" s="214">
        <f>H25+H28</f>
        <v>857000000</v>
      </c>
      <c r="I31" s="214">
        <f>H31/H32*100</f>
        <v>48.751351043859145</v>
      </c>
      <c r="J31" s="214">
        <f>J25+J28</f>
        <v>0</v>
      </c>
      <c r="K31" s="214">
        <f>K25+K28</f>
        <v>12239476</v>
      </c>
      <c r="L31" s="214"/>
      <c r="M31" s="255">
        <f>H31-K31</f>
        <v>844760524</v>
      </c>
      <c r="N31" s="359">
        <f>K31/H31*100</f>
        <v>1.4281768961493584</v>
      </c>
    </row>
    <row r="32" spans="1:14" ht="17.25" customHeight="1">
      <c r="A32" s="363"/>
      <c r="B32" s="281"/>
      <c r="C32" s="282" t="s">
        <v>125</v>
      </c>
      <c r="D32" s="213">
        <v>1342870806</v>
      </c>
      <c r="E32" s="213">
        <v>100</v>
      </c>
      <c r="F32" s="213">
        <v>1757900000</v>
      </c>
      <c r="G32" s="213">
        <v>100</v>
      </c>
      <c r="H32" s="213">
        <v>1757900000</v>
      </c>
      <c r="I32" s="213">
        <v>100</v>
      </c>
      <c r="J32" s="213">
        <v>0</v>
      </c>
      <c r="K32" s="213">
        <v>248866549</v>
      </c>
      <c r="L32" s="213">
        <v>100</v>
      </c>
      <c r="M32" s="213">
        <v>1509033451</v>
      </c>
      <c r="N32" s="359">
        <v>14.157036748392967</v>
      </c>
    </row>
    <row r="33" spans="1:14" ht="17.25" customHeight="1">
      <c r="A33" s="363"/>
      <c r="B33" s="385"/>
      <c r="C33" s="386" t="s">
        <v>126</v>
      </c>
      <c r="D33" s="387">
        <v>3144920</v>
      </c>
      <c r="E33" s="388">
        <v>0.23364660154052314</v>
      </c>
      <c r="F33" s="387"/>
      <c r="G33" s="387"/>
      <c r="H33" s="387"/>
      <c r="I33" s="387"/>
      <c r="J33" s="387"/>
      <c r="K33" s="387"/>
      <c r="L33" s="388"/>
      <c r="M33" s="387"/>
      <c r="N33" s="384"/>
    </row>
    <row r="35" spans="1:14">
      <c r="H35" s="416"/>
    </row>
  </sheetData>
  <mergeCells count="20">
    <mergeCell ref="B13:C13"/>
    <mergeCell ref="A5:A6"/>
    <mergeCell ref="B6:B7"/>
    <mergeCell ref="C6:E7"/>
    <mergeCell ref="F6:G7"/>
    <mergeCell ref="B9:C12"/>
    <mergeCell ref="D9:N9"/>
    <mergeCell ref="F10:G10"/>
    <mergeCell ref="H10:I10"/>
    <mergeCell ref="K10:L10"/>
    <mergeCell ref="M10:M11"/>
    <mergeCell ref="N10:N11"/>
    <mergeCell ref="D10:E10"/>
    <mergeCell ref="H6:N7"/>
    <mergeCell ref="B2:N2"/>
    <mergeCell ref="B3:N3"/>
    <mergeCell ref="B4:N4"/>
    <mergeCell ref="C8:E8"/>
    <mergeCell ref="F8:G8"/>
    <mergeCell ref="H8:N8"/>
  </mergeCells>
  <pageMargins left="0.17" right="0.17" top="0.17" bottom="0.17" header="0.17" footer="0.17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59999389629810485"/>
  </sheetPr>
  <dimension ref="A1:Q35"/>
  <sheetViews>
    <sheetView workbookViewId="0">
      <pane xSplit="5" ySplit="12" topLeftCell="F13" activePane="bottomRight" state="frozen"/>
      <selection pane="topRight" activeCell="F1" sqref="F1"/>
      <selection pane="bottomLeft" activeCell="A13" sqref="A13"/>
      <selection pane="bottomRight" activeCell="B3" sqref="B3:N3"/>
    </sheetView>
  </sheetViews>
  <sheetFormatPr defaultRowHeight="15"/>
  <cols>
    <col min="1" max="1" width="3.28515625" style="34" customWidth="1"/>
    <col min="2" max="2" width="20.42578125" style="34" customWidth="1"/>
    <col min="3" max="3" width="33.28515625" style="34" customWidth="1"/>
    <col min="4" max="4" width="12.85546875" style="34" customWidth="1"/>
    <col min="5" max="5" width="7.5703125" style="34" customWidth="1"/>
    <col min="6" max="6" width="14.42578125" style="130" customWidth="1"/>
    <col min="7" max="7" width="8.5703125" style="130" customWidth="1"/>
    <col min="8" max="8" width="13.28515625" style="34" customWidth="1"/>
    <col min="9" max="9" width="8.42578125" style="34" customWidth="1"/>
    <col min="10" max="10" width="9.140625" style="34" customWidth="1"/>
    <col min="11" max="11" width="13.28515625" style="34" customWidth="1"/>
    <col min="12" max="12" width="7.140625" style="34" customWidth="1"/>
    <col min="13" max="13" width="14" style="34" customWidth="1"/>
    <col min="14" max="14" width="7.7109375" style="34" customWidth="1"/>
    <col min="15" max="15" width="9.140625" style="34"/>
    <col min="16" max="16" width="13.28515625" style="34" hidden="1" customWidth="1"/>
    <col min="17" max="17" width="7.140625" style="34" hidden="1" customWidth="1"/>
    <col min="18" max="19" width="0" style="34" hidden="1" customWidth="1"/>
    <col min="20" max="16384" width="9.140625" style="34"/>
  </cols>
  <sheetData>
    <row r="1" spans="1:17">
      <c r="A1" s="802"/>
      <c r="B1" s="1103"/>
      <c r="C1" s="802"/>
      <c r="D1" s="802"/>
      <c r="E1" s="802"/>
      <c r="F1" s="288"/>
      <c r="G1" s="288"/>
      <c r="H1" s="802"/>
      <c r="I1" s="802"/>
      <c r="J1" s="802"/>
      <c r="K1" s="802"/>
      <c r="L1" s="802"/>
      <c r="M1" s="802"/>
      <c r="N1" s="802"/>
      <c r="P1" s="802"/>
      <c r="Q1" s="802"/>
    </row>
    <row r="2" spans="1:17">
      <c r="A2" s="802"/>
      <c r="B2" s="1373" t="s">
        <v>112</v>
      </c>
      <c r="C2" s="1373"/>
      <c r="D2" s="1373"/>
      <c r="E2" s="1373"/>
      <c r="F2" s="1373"/>
      <c r="G2" s="1373"/>
      <c r="H2" s="1373"/>
      <c r="I2" s="1373"/>
      <c r="J2" s="1373"/>
      <c r="K2" s="1373"/>
      <c r="L2" s="1373"/>
      <c r="M2" s="1373"/>
      <c r="N2" s="1373"/>
    </row>
    <row r="3" spans="1:17">
      <c r="A3" s="802"/>
      <c r="B3" s="1374" t="s">
        <v>498</v>
      </c>
      <c r="C3" s="1374"/>
      <c r="D3" s="1374"/>
      <c r="E3" s="1374"/>
      <c r="F3" s="1374"/>
      <c r="G3" s="1374"/>
      <c r="H3" s="1374"/>
      <c r="I3" s="1374"/>
      <c r="J3" s="1374"/>
      <c r="K3" s="1374"/>
      <c r="L3" s="1374"/>
      <c r="M3" s="1374"/>
      <c r="N3" s="1374"/>
    </row>
    <row r="4" spans="1:17">
      <c r="A4" s="802"/>
      <c r="B4" s="1375" t="s">
        <v>1</v>
      </c>
      <c r="C4" s="1375"/>
      <c r="D4" s="1375"/>
      <c r="E4" s="1375"/>
      <c r="F4" s="1375"/>
      <c r="G4" s="1375"/>
      <c r="H4" s="1375"/>
      <c r="I4" s="1375"/>
      <c r="J4" s="1375"/>
      <c r="K4" s="1375"/>
      <c r="L4" s="1375"/>
      <c r="M4" s="1375"/>
      <c r="N4" s="1375"/>
    </row>
    <row r="5" spans="1:17" ht="15.75" thickBot="1">
      <c r="A5" s="1364"/>
      <c r="B5" s="802"/>
      <c r="C5" s="802"/>
      <c r="D5" s="802"/>
      <c r="E5" s="802"/>
      <c r="F5" s="288"/>
      <c r="G5" s="288"/>
      <c r="H5" s="802"/>
      <c r="I5" s="802"/>
      <c r="J5" s="802"/>
      <c r="K5" s="802"/>
      <c r="L5" s="802"/>
      <c r="M5" s="802"/>
      <c r="N5" s="802"/>
      <c r="P5" s="802"/>
      <c r="Q5" s="802"/>
    </row>
    <row r="6" spans="1:17" ht="16.5" thickTop="1" thickBot="1">
      <c r="A6" s="1364"/>
      <c r="B6" s="1376" t="s">
        <v>113</v>
      </c>
      <c r="C6" s="1377" t="s">
        <v>160</v>
      </c>
      <c r="D6" s="1377"/>
      <c r="E6" s="1377"/>
      <c r="F6" s="1378" t="s">
        <v>3</v>
      </c>
      <c r="G6" s="1378"/>
      <c r="H6" s="1379" t="s">
        <v>179</v>
      </c>
      <c r="I6" s="1379"/>
      <c r="J6" s="1379"/>
      <c r="K6" s="1379"/>
      <c r="L6" s="1379"/>
      <c r="M6" s="1379"/>
      <c r="N6" s="1379"/>
    </row>
    <row r="7" spans="1:17" ht="15.75" thickTop="1">
      <c r="A7" s="802"/>
      <c r="B7" s="1376"/>
      <c r="C7" s="1377"/>
      <c r="D7" s="1377"/>
      <c r="E7" s="1377"/>
      <c r="F7" s="1378"/>
      <c r="G7" s="1378"/>
      <c r="H7" s="1379"/>
      <c r="I7" s="1379"/>
      <c r="J7" s="1379"/>
      <c r="K7" s="1379"/>
      <c r="L7" s="1379"/>
      <c r="M7" s="1379"/>
      <c r="N7" s="1379"/>
    </row>
    <row r="8" spans="1:17">
      <c r="A8" s="802"/>
      <c r="B8" s="1104" t="s">
        <v>114</v>
      </c>
      <c r="C8" s="1367" t="s">
        <v>156</v>
      </c>
      <c r="D8" s="1367"/>
      <c r="E8" s="1367"/>
      <c r="F8" s="1368" t="s">
        <v>115</v>
      </c>
      <c r="G8" s="1368"/>
      <c r="H8" s="1369" t="s">
        <v>155</v>
      </c>
      <c r="I8" s="1369"/>
      <c r="J8" s="1369"/>
      <c r="K8" s="1369"/>
      <c r="L8" s="1369"/>
      <c r="M8" s="1369"/>
      <c r="N8" s="1369"/>
    </row>
    <row r="9" spans="1:17" ht="15.75" thickBot="1">
      <c r="A9" s="802"/>
      <c r="B9" s="1370" t="s">
        <v>4</v>
      </c>
      <c r="C9" s="1370"/>
      <c r="D9" s="1371" t="s">
        <v>116</v>
      </c>
      <c r="E9" s="1371"/>
      <c r="F9" s="1371"/>
      <c r="G9" s="1371"/>
      <c r="H9" s="1371"/>
      <c r="I9" s="1371"/>
      <c r="J9" s="1371"/>
      <c r="K9" s="1371"/>
      <c r="L9" s="1371"/>
      <c r="M9" s="1371"/>
      <c r="N9" s="1371"/>
    </row>
    <row r="10" spans="1:17" ht="16.5" thickTop="1" thickBot="1">
      <c r="A10" s="802"/>
      <c r="B10" s="1370"/>
      <c r="C10" s="1370"/>
      <c r="D10" s="1105" t="s">
        <v>117</v>
      </c>
      <c r="E10" s="1106">
        <v>2025</v>
      </c>
      <c r="F10" s="1363" t="s">
        <v>6</v>
      </c>
      <c r="G10" s="1363"/>
      <c r="H10" s="1363" t="s">
        <v>6</v>
      </c>
      <c r="I10" s="1363"/>
      <c r="J10" s="772" t="s">
        <v>6</v>
      </c>
      <c r="K10" s="1363" t="s">
        <v>6</v>
      </c>
      <c r="L10" s="1363"/>
      <c r="M10" s="1372" t="s">
        <v>118</v>
      </c>
      <c r="N10" s="1366" t="s">
        <v>8</v>
      </c>
      <c r="P10" s="1363" t="s">
        <v>6</v>
      </c>
      <c r="Q10" s="1363"/>
    </row>
    <row r="11" spans="1:17" ht="46.5" thickTop="1" thickBot="1">
      <c r="A11" s="802"/>
      <c r="B11" s="1370"/>
      <c r="C11" s="1370"/>
      <c r="D11" s="1107" t="s">
        <v>119</v>
      </c>
      <c r="E11" s="1108" t="s">
        <v>10</v>
      </c>
      <c r="F11" s="389" t="s">
        <v>495</v>
      </c>
      <c r="G11" s="390" t="s">
        <v>10</v>
      </c>
      <c r="H11" s="389" t="s">
        <v>496</v>
      </c>
      <c r="I11" s="390" t="s">
        <v>10</v>
      </c>
      <c r="J11" s="391" t="s">
        <v>120</v>
      </c>
      <c r="K11" s="389" t="s">
        <v>12</v>
      </c>
      <c r="L11" s="390" t="s">
        <v>10</v>
      </c>
      <c r="M11" s="1372"/>
      <c r="N11" s="1366"/>
      <c r="P11" s="389" t="s">
        <v>12</v>
      </c>
      <c r="Q11" s="390" t="s">
        <v>10</v>
      </c>
    </row>
    <row r="12" spans="1:17" ht="16.5" thickTop="1" thickBot="1">
      <c r="A12" s="802"/>
      <c r="B12" s="1370"/>
      <c r="C12" s="1370"/>
      <c r="D12" s="392" t="s">
        <v>13</v>
      </c>
      <c r="E12" s="392" t="s">
        <v>14</v>
      </c>
      <c r="F12" s="392" t="s">
        <v>15</v>
      </c>
      <c r="G12" s="392" t="s">
        <v>16</v>
      </c>
      <c r="H12" s="392" t="s">
        <v>17</v>
      </c>
      <c r="I12" s="392" t="s">
        <v>18</v>
      </c>
      <c r="J12" s="392" t="s">
        <v>19</v>
      </c>
      <c r="K12" s="392" t="s">
        <v>20</v>
      </c>
      <c r="L12" s="392" t="s">
        <v>21</v>
      </c>
      <c r="M12" s="392" t="s">
        <v>22</v>
      </c>
      <c r="N12" s="1109" t="s">
        <v>23</v>
      </c>
      <c r="P12" s="392" t="s">
        <v>20</v>
      </c>
      <c r="Q12" s="392" t="s">
        <v>21</v>
      </c>
    </row>
    <row r="13" spans="1:17" ht="15.75" thickTop="1">
      <c r="A13" s="802"/>
      <c r="B13" s="1365" t="s">
        <v>32</v>
      </c>
      <c r="C13" s="1365"/>
      <c r="D13" s="393"/>
      <c r="E13" s="394"/>
      <c r="F13" s="393"/>
      <c r="G13" s="394"/>
      <c r="H13" s="393"/>
      <c r="I13" s="394"/>
      <c r="J13" s="395"/>
      <c r="K13" s="393"/>
      <c r="L13" s="394"/>
      <c r="M13" s="393"/>
      <c r="N13" s="396"/>
      <c r="P13" s="393"/>
      <c r="Q13" s="394"/>
    </row>
    <row r="14" spans="1:17">
      <c r="A14" s="802"/>
      <c r="B14" s="397" t="s">
        <v>25</v>
      </c>
      <c r="C14" s="398" t="s">
        <v>26</v>
      </c>
      <c r="D14" s="393"/>
      <c r="E14" s="394"/>
      <c r="F14" s="393"/>
      <c r="G14" s="394"/>
      <c r="H14" s="393"/>
      <c r="I14" s="394"/>
      <c r="J14" s="399"/>
      <c r="K14" s="393"/>
      <c r="L14" s="394"/>
      <c r="M14" s="393"/>
      <c r="N14" s="396"/>
      <c r="P14" s="393"/>
      <c r="Q14" s="394"/>
    </row>
    <row r="15" spans="1:17">
      <c r="A15" s="802"/>
      <c r="B15" s="400" t="s">
        <v>34</v>
      </c>
      <c r="C15" s="401" t="s">
        <v>35</v>
      </c>
      <c r="D15" s="402">
        <v>0</v>
      </c>
      <c r="E15" s="403">
        <v>0</v>
      </c>
      <c r="F15" s="404">
        <v>0</v>
      </c>
      <c r="G15" s="404">
        <v>0</v>
      </c>
      <c r="H15" s="403">
        <v>0</v>
      </c>
      <c r="I15" s="403">
        <v>0</v>
      </c>
      <c r="J15" s="403">
        <v>0</v>
      </c>
      <c r="K15" s="402">
        <v>0</v>
      </c>
      <c r="L15" s="403">
        <v>0</v>
      </c>
      <c r="M15" s="403">
        <v>0</v>
      </c>
      <c r="N15" s="807">
        <v>0</v>
      </c>
      <c r="P15" s="402">
        <v>0</v>
      </c>
      <c r="Q15" s="403">
        <v>0</v>
      </c>
    </row>
    <row r="16" spans="1:17">
      <c r="A16" s="802"/>
      <c r="B16" s="400" t="s">
        <v>36</v>
      </c>
      <c r="C16" s="401" t="s">
        <v>37</v>
      </c>
      <c r="D16" s="402">
        <v>0</v>
      </c>
      <c r="E16" s="403">
        <v>0</v>
      </c>
      <c r="F16" s="404">
        <v>0</v>
      </c>
      <c r="G16" s="404">
        <v>0</v>
      </c>
      <c r="H16" s="403">
        <v>0</v>
      </c>
      <c r="I16" s="403">
        <v>0</v>
      </c>
      <c r="J16" s="403">
        <v>0</v>
      </c>
      <c r="K16" s="402">
        <v>0</v>
      </c>
      <c r="L16" s="403">
        <v>0</v>
      </c>
      <c r="M16" s="403">
        <v>0</v>
      </c>
      <c r="N16" s="807">
        <v>0</v>
      </c>
      <c r="P16" s="402">
        <v>0</v>
      </c>
      <c r="Q16" s="403">
        <v>0</v>
      </c>
    </row>
    <row r="17" spans="1:17">
      <c r="A17" s="802"/>
      <c r="B17" s="400" t="s">
        <v>38</v>
      </c>
      <c r="C17" s="401" t="s">
        <v>39</v>
      </c>
      <c r="D17" s="402">
        <v>0</v>
      </c>
      <c r="E17" s="403">
        <v>0</v>
      </c>
      <c r="F17" s="404">
        <v>0</v>
      </c>
      <c r="G17" s="404">
        <v>0</v>
      </c>
      <c r="H17" s="403">
        <v>0</v>
      </c>
      <c r="I17" s="403">
        <v>0</v>
      </c>
      <c r="J17" s="403">
        <v>0</v>
      </c>
      <c r="K17" s="402">
        <v>0</v>
      </c>
      <c r="L17" s="403">
        <v>0</v>
      </c>
      <c r="M17" s="403">
        <v>0</v>
      </c>
      <c r="N17" s="807">
        <v>0</v>
      </c>
      <c r="P17" s="402">
        <v>0</v>
      </c>
      <c r="Q17" s="403">
        <v>0</v>
      </c>
    </row>
    <row r="18" spans="1:17" ht="15.75" customHeight="1">
      <c r="A18" s="802"/>
      <c r="B18" s="400" t="s">
        <v>40</v>
      </c>
      <c r="C18" s="401" t="s">
        <v>41</v>
      </c>
      <c r="D18" s="402">
        <v>0</v>
      </c>
      <c r="E18" s="403">
        <v>0</v>
      </c>
      <c r="F18" s="404">
        <v>0</v>
      </c>
      <c r="G18" s="404">
        <v>0</v>
      </c>
      <c r="H18" s="403">
        <v>0</v>
      </c>
      <c r="I18" s="403">
        <v>0</v>
      </c>
      <c r="J18" s="403">
        <v>0</v>
      </c>
      <c r="K18" s="402">
        <v>0</v>
      </c>
      <c r="L18" s="403">
        <v>0</v>
      </c>
      <c r="M18" s="403">
        <v>0</v>
      </c>
      <c r="N18" s="807">
        <v>0</v>
      </c>
      <c r="P18" s="402">
        <v>0</v>
      </c>
      <c r="Q18" s="403">
        <v>0</v>
      </c>
    </row>
    <row r="19" spans="1:17">
      <c r="A19" s="802"/>
      <c r="B19" s="400" t="s">
        <v>42</v>
      </c>
      <c r="C19" s="401" t="s">
        <v>43</v>
      </c>
      <c r="D19" s="402">
        <v>5228958000</v>
      </c>
      <c r="E19" s="404">
        <v>100</v>
      </c>
      <c r="F19" s="404">
        <v>5200000000</v>
      </c>
      <c r="G19" s="344">
        <f>F19/F22*100</f>
        <v>100</v>
      </c>
      <c r="H19" s="404">
        <v>5200000000</v>
      </c>
      <c r="I19" s="344">
        <f>H19/H22*100</f>
        <v>100</v>
      </c>
      <c r="J19" s="403"/>
      <c r="K19" s="404">
        <v>2000000000</v>
      </c>
      <c r="L19" s="255">
        <f>(K19/H19)*100</f>
        <v>38.461538461538467</v>
      </c>
      <c r="M19" s="255">
        <f>H19-K19</f>
        <v>3200000000</v>
      </c>
      <c r="N19" s="807">
        <v>0</v>
      </c>
      <c r="P19" s="402">
        <f>M19</f>
        <v>3200000000</v>
      </c>
      <c r="Q19" s="403">
        <v>100</v>
      </c>
    </row>
    <row r="20" spans="1:17">
      <c r="A20" s="802"/>
      <c r="B20" s="400" t="s">
        <v>44</v>
      </c>
      <c r="C20" s="401" t="s">
        <v>45</v>
      </c>
      <c r="D20" s="402">
        <v>0</v>
      </c>
      <c r="E20" s="403">
        <v>0</v>
      </c>
      <c r="F20" s="404"/>
      <c r="G20" s="404"/>
      <c r="H20" s="403"/>
      <c r="I20" s="403"/>
      <c r="J20" s="403"/>
      <c r="K20" s="402"/>
      <c r="L20" s="255"/>
      <c r="M20" s="255">
        <f t="shared" ref="M20:M22" si="0">H20-K20</f>
        <v>0</v>
      </c>
      <c r="N20" s="807">
        <v>0</v>
      </c>
      <c r="P20" s="402">
        <f t="shared" ref="P20:P32" si="1">M20</f>
        <v>0</v>
      </c>
      <c r="Q20" s="403">
        <v>0</v>
      </c>
    </row>
    <row r="21" spans="1:17" ht="16.5" customHeight="1">
      <c r="A21" s="802"/>
      <c r="B21" s="400" t="s">
        <v>46</v>
      </c>
      <c r="C21" s="401" t="s">
        <v>47</v>
      </c>
      <c r="D21" s="402">
        <v>0</v>
      </c>
      <c r="E21" s="403">
        <v>0</v>
      </c>
      <c r="F21" s="404"/>
      <c r="G21" s="404"/>
      <c r="H21" s="403"/>
      <c r="I21" s="403"/>
      <c r="J21" s="403"/>
      <c r="K21" s="402"/>
      <c r="L21" s="255"/>
      <c r="M21" s="255">
        <f t="shared" si="0"/>
        <v>0</v>
      </c>
      <c r="N21" s="807">
        <v>0</v>
      </c>
      <c r="P21" s="402">
        <f t="shared" si="1"/>
        <v>0</v>
      </c>
      <c r="Q21" s="403">
        <v>0</v>
      </c>
    </row>
    <row r="22" spans="1:17">
      <c r="A22" s="802"/>
      <c r="B22" s="281"/>
      <c r="C22" s="282" t="s">
        <v>121</v>
      </c>
      <c r="D22" s="213">
        <f>D19</f>
        <v>5228958000</v>
      </c>
      <c r="E22" s="283">
        <v>100</v>
      </c>
      <c r="F22" s="213">
        <f>F19</f>
        <v>5200000000</v>
      </c>
      <c r="G22" s="283">
        <v>100</v>
      </c>
      <c r="H22" s="213">
        <f>H19</f>
        <v>5200000000</v>
      </c>
      <c r="I22" s="283"/>
      <c r="J22" s="213"/>
      <c r="K22" s="213">
        <f>K19</f>
        <v>2000000000</v>
      </c>
      <c r="L22" s="255">
        <f t="shared" ref="L22" si="2">(K22/H22)*100</f>
        <v>38.461538461538467</v>
      </c>
      <c r="M22" s="255">
        <f t="shared" si="0"/>
        <v>3200000000</v>
      </c>
      <c r="N22" s="807">
        <v>0</v>
      </c>
      <c r="P22" s="213">
        <f t="shared" si="1"/>
        <v>3200000000</v>
      </c>
      <c r="Q22" s="283">
        <v>100</v>
      </c>
    </row>
    <row r="23" spans="1:17">
      <c r="A23" s="802"/>
      <c r="B23" s="210" t="s">
        <v>49</v>
      </c>
      <c r="C23" s="211" t="s">
        <v>50</v>
      </c>
      <c r="D23" s="209">
        <v>0</v>
      </c>
      <c r="E23" s="212">
        <v>0</v>
      </c>
      <c r="F23" s="209">
        <v>0</v>
      </c>
      <c r="G23" s="212">
        <v>0</v>
      </c>
      <c r="H23" s="209">
        <v>0</v>
      </c>
      <c r="I23" s="212">
        <v>0</v>
      </c>
      <c r="J23" s="209">
        <f t="shared" ref="J23:J31" si="3">H23-F23</f>
        <v>0</v>
      </c>
      <c r="K23" s="209">
        <f t="shared" ref="K23:K31" si="4">H23</f>
        <v>0</v>
      </c>
      <c r="L23" s="212">
        <v>0</v>
      </c>
      <c r="M23" s="209">
        <f t="shared" ref="M23:M31" si="5">H23-K23</f>
        <v>0</v>
      </c>
      <c r="N23" s="807">
        <v>0</v>
      </c>
      <c r="P23" s="209">
        <f t="shared" si="1"/>
        <v>0</v>
      </c>
      <c r="Q23" s="212">
        <v>0</v>
      </c>
    </row>
    <row r="24" spans="1:17">
      <c r="A24" s="802"/>
      <c r="B24" s="210" t="s">
        <v>51</v>
      </c>
      <c r="C24" s="211" t="s">
        <v>52</v>
      </c>
      <c r="D24" s="209">
        <v>0</v>
      </c>
      <c r="E24" s="212">
        <v>0</v>
      </c>
      <c r="F24" s="209">
        <v>0</v>
      </c>
      <c r="G24" s="212">
        <v>0</v>
      </c>
      <c r="H24" s="209">
        <v>0</v>
      </c>
      <c r="I24" s="212">
        <v>0</v>
      </c>
      <c r="J24" s="209">
        <f t="shared" si="3"/>
        <v>0</v>
      </c>
      <c r="K24" s="209">
        <f t="shared" si="4"/>
        <v>0</v>
      </c>
      <c r="L24" s="212">
        <v>0</v>
      </c>
      <c r="M24" s="209">
        <f t="shared" si="5"/>
        <v>0</v>
      </c>
      <c r="N24" s="807">
        <v>0</v>
      </c>
      <c r="P24" s="209">
        <f t="shared" si="1"/>
        <v>0</v>
      </c>
      <c r="Q24" s="212">
        <v>0</v>
      </c>
    </row>
    <row r="25" spans="1:17">
      <c r="A25" s="802"/>
      <c r="B25" s="281"/>
      <c r="C25" s="282" t="s">
        <v>122</v>
      </c>
      <c r="D25" s="213">
        <v>0</v>
      </c>
      <c r="E25" s="213">
        <f>D25/D32*100</f>
        <v>0</v>
      </c>
      <c r="F25" s="213">
        <v>0</v>
      </c>
      <c r="G25" s="213">
        <f>F25/F32*100</f>
        <v>0</v>
      </c>
      <c r="H25" s="213">
        <v>0</v>
      </c>
      <c r="I25" s="213">
        <v>0</v>
      </c>
      <c r="J25" s="213">
        <f t="shared" si="3"/>
        <v>0</v>
      </c>
      <c r="K25" s="213">
        <f t="shared" si="4"/>
        <v>0</v>
      </c>
      <c r="L25" s="213">
        <v>0</v>
      </c>
      <c r="M25" s="213">
        <f t="shared" si="5"/>
        <v>0</v>
      </c>
      <c r="N25" s="284">
        <f t="shared" ref="N25:N28" si="6">K25</f>
        <v>0</v>
      </c>
      <c r="P25" s="213">
        <f t="shared" si="1"/>
        <v>0</v>
      </c>
      <c r="Q25" s="213">
        <v>0</v>
      </c>
    </row>
    <row r="26" spans="1:17">
      <c r="A26" s="802"/>
      <c r="B26" s="210" t="s">
        <v>49</v>
      </c>
      <c r="C26" s="211" t="s">
        <v>50</v>
      </c>
      <c r="D26" s="209">
        <v>0</v>
      </c>
      <c r="E26" s="209">
        <v>0</v>
      </c>
      <c r="F26" s="209">
        <v>0</v>
      </c>
      <c r="G26" s="209">
        <v>0</v>
      </c>
      <c r="H26" s="209">
        <v>0</v>
      </c>
      <c r="I26" s="209">
        <v>0</v>
      </c>
      <c r="J26" s="209">
        <f t="shared" si="3"/>
        <v>0</v>
      </c>
      <c r="K26" s="209">
        <f t="shared" si="4"/>
        <v>0</v>
      </c>
      <c r="L26" s="209">
        <v>0</v>
      </c>
      <c r="M26" s="209">
        <f t="shared" si="5"/>
        <v>0</v>
      </c>
      <c r="N26" s="216">
        <f t="shared" si="6"/>
        <v>0</v>
      </c>
      <c r="P26" s="209">
        <f t="shared" si="1"/>
        <v>0</v>
      </c>
      <c r="Q26" s="209">
        <v>0</v>
      </c>
    </row>
    <row r="27" spans="1:17">
      <c r="A27" s="802"/>
      <c r="B27" s="210" t="s">
        <v>51</v>
      </c>
      <c r="C27" s="211" t="s">
        <v>52</v>
      </c>
      <c r="D27" s="209">
        <v>0</v>
      </c>
      <c r="E27" s="209">
        <v>0</v>
      </c>
      <c r="F27" s="209">
        <v>0</v>
      </c>
      <c r="G27" s="209">
        <v>0</v>
      </c>
      <c r="H27" s="209">
        <v>0</v>
      </c>
      <c r="I27" s="209">
        <v>0</v>
      </c>
      <c r="J27" s="209">
        <f t="shared" si="3"/>
        <v>0</v>
      </c>
      <c r="K27" s="209">
        <f t="shared" si="4"/>
        <v>0</v>
      </c>
      <c r="L27" s="209">
        <v>0</v>
      </c>
      <c r="M27" s="209">
        <f t="shared" si="5"/>
        <v>0</v>
      </c>
      <c r="N27" s="216">
        <f t="shared" si="6"/>
        <v>0</v>
      </c>
      <c r="P27" s="209">
        <f t="shared" si="1"/>
        <v>0</v>
      </c>
      <c r="Q27" s="209">
        <v>0</v>
      </c>
    </row>
    <row r="28" spans="1:17">
      <c r="A28" s="802"/>
      <c r="B28" s="797"/>
      <c r="C28" s="784" t="s">
        <v>123</v>
      </c>
      <c r="D28" s="621">
        <v>0</v>
      </c>
      <c r="E28" s="621">
        <v>0</v>
      </c>
      <c r="F28" s="621">
        <v>0</v>
      </c>
      <c r="G28" s="621">
        <v>0</v>
      </c>
      <c r="H28" s="621">
        <v>0</v>
      </c>
      <c r="I28" s="621">
        <v>0</v>
      </c>
      <c r="J28" s="621">
        <f t="shared" si="3"/>
        <v>0</v>
      </c>
      <c r="K28" s="621">
        <f t="shared" si="4"/>
        <v>0</v>
      </c>
      <c r="L28" s="621">
        <v>0</v>
      </c>
      <c r="M28" s="621">
        <f t="shared" si="5"/>
        <v>0</v>
      </c>
      <c r="N28" s="798">
        <f t="shared" si="6"/>
        <v>0</v>
      </c>
      <c r="P28" s="214">
        <f t="shared" si="1"/>
        <v>0</v>
      </c>
      <c r="Q28" s="214">
        <v>0</v>
      </c>
    </row>
    <row r="29" spans="1:17">
      <c r="A29" s="802"/>
      <c r="B29" s="728" t="s">
        <v>49</v>
      </c>
      <c r="C29" s="799" t="s">
        <v>50</v>
      </c>
      <c r="D29" s="621"/>
      <c r="E29" s="621"/>
      <c r="F29" s="621"/>
      <c r="G29" s="621"/>
      <c r="H29" s="621"/>
      <c r="I29" s="621"/>
      <c r="J29" s="621"/>
      <c r="K29" s="621"/>
      <c r="L29" s="621"/>
      <c r="M29" s="621">
        <f>H29-K29</f>
        <v>0</v>
      </c>
      <c r="N29" s="798">
        <f>K29</f>
        <v>0</v>
      </c>
      <c r="P29" s="214"/>
      <c r="Q29" s="214"/>
    </row>
    <row r="30" spans="1:17">
      <c r="A30" s="802"/>
      <c r="B30" s="728" t="s">
        <v>51</v>
      </c>
      <c r="C30" s="799" t="s">
        <v>52</v>
      </c>
      <c r="D30" s="621"/>
      <c r="E30" s="621"/>
      <c r="F30" s="621"/>
      <c r="G30" s="621"/>
      <c r="H30" s="621"/>
      <c r="I30" s="621"/>
      <c r="J30" s="621"/>
      <c r="K30" s="621"/>
      <c r="L30" s="621"/>
      <c r="M30" s="621">
        <f>H30-K30</f>
        <v>0</v>
      </c>
      <c r="N30" s="798">
        <f t="shared" ref="N30:N31" si="7">K30</f>
        <v>0</v>
      </c>
      <c r="P30" s="214"/>
      <c r="Q30" s="214"/>
    </row>
    <row r="31" spans="1:17">
      <c r="A31" s="802"/>
      <c r="B31" s="285"/>
      <c r="C31" s="286" t="s">
        <v>124</v>
      </c>
      <c r="D31" s="214">
        <f>D25+D28</f>
        <v>0</v>
      </c>
      <c r="E31" s="214">
        <v>0</v>
      </c>
      <c r="F31" s="214">
        <v>0</v>
      </c>
      <c r="G31" s="214">
        <v>0</v>
      </c>
      <c r="H31" s="214">
        <v>0</v>
      </c>
      <c r="I31" s="214">
        <v>0</v>
      </c>
      <c r="J31" s="209">
        <f t="shared" si="3"/>
        <v>0</v>
      </c>
      <c r="K31" s="214">
        <f t="shared" si="4"/>
        <v>0</v>
      </c>
      <c r="L31" s="214">
        <v>0</v>
      </c>
      <c r="M31" s="214">
        <f t="shared" si="5"/>
        <v>0</v>
      </c>
      <c r="N31" s="798">
        <f t="shared" si="7"/>
        <v>0</v>
      </c>
      <c r="P31" s="214">
        <f t="shared" si="1"/>
        <v>0</v>
      </c>
      <c r="Q31" s="214">
        <v>0</v>
      </c>
    </row>
    <row r="32" spans="1:17">
      <c r="A32" s="802"/>
      <c r="B32" s="281"/>
      <c r="C32" s="282" t="s">
        <v>125</v>
      </c>
      <c r="D32" s="213">
        <f>D22</f>
        <v>5228958000</v>
      </c>
      <c r="E32" s="213">
        <v>100</v>
      </c>
      <c r="F32" s="213">
        <f>F22</f>
        <v>5200000000</v>
      </c>
      <c r="G32" s="213">
        <f>G22+G25</f>
        <v>100</v>
      </c>
      <c r="H32" s="213">
        <f>H22</f>
        <v>5200000000</v>
      </c>
      <c r="I32" s="213">
        <f>I22+I25</f>
        <v>0</v>
      </c>
      <c r="J32" s="213"/>
      <c r="K32" s="213">
        <f>K22</f>
        <v>2000000000</v>
      </c>
      <c r="L32" s="255">
        <f>(K32/H32)*100</f>
        <v>38.461538461538467</v>
      </c>
      <c r="M32" s="213">
        <f>H32-K32</f>
        <v>3200000000</v>
      </c>
      <c r="N32" s="798"/>
      <c r="P32" s="213">
        <f t="shared" si="1"/>
        <v>3200000000</v>
      </c>
      <c r="Q32" s="213">
        <v>100</v>
      </c>
    </row>
    <row r="33" spans="1:17">
      <c r="A33" s="802"/>
      <c r="B33" s="405"/>
      <c r="C33" s="406" t="s">
        <v>126</v>
      </c>
      <c r="D33" s="407">
        <v>0</v>
      </c>
      <c r="E33" s="404"/>
      <c r="F33" s="404"/>
      <c r="G33" s="404"/>
      <c r="H33" s="404"/>
      <c r="I33" s="404"/>
      <c r="J33" s="404"/>
      <c r="K33" s="402"/>
      <c r="L33" s="404"/>
      <c r="M33" s="403"/>
      <c r="N33" s="408"/>
      <c r="P33" s="402">
        <f>M33</f>
        <v>0</v>
      </c>
      <c r="Q33" s="404"/>
    </row>
    <row r="34" spans="1:17">
      <c r="A34" s="802"/>
      <c r="B34" s="405"/>
      <c r="C34" s="406" t="s">
        <v>127</v>
      </c>
      <c r="D34" s="407">
        <v>0</v>
      </c>
      <c r="E34" s="404"/>
      <c r="F34" s="404"/>
      <c r="G34" s="404"/>
      <c r="H34" s="404"/>
      <c r="I34" s="404"/>
      <c r="J34" s="404"/>
      <c r="K34" s="402"/>
      <c r="L34" s="404"/>
      <c r="M34" s="404"/>
      <c r="N34" s="408"/>
      <c r="P34" s="402">
        <f>M34</f>
        <v>0</v>
      </c>
      <c r="Q34" s="404"/>
    </row>
    <row r="35" spans="1:17">
      <c r="A35" s="802"/>
      <c r="B35" s="405"/>
      <c r="C35" s="406" t="s">
        <v>128</v>
      </c>
      <c r="D35" s="407">
        <f>D32</f>
        <v>5228958000</v>
      </c>
      <c r="E35" s="407">
        <f t="shared" ref="E35:N35" si="8">E32</f>
        <v>100</v>
      </c>
      <c r="F35" s="407">
        <f t="shared" si="8"/>
        <v>5200000000</v>
      </c>
      <c r="G35" s="407">
        <f t="shared" si="8"/>
        <v>100</v>
      </c>
      <c r="H35" s="407">
        <f t="shared" si="8"/>
        <v>5200000000</v>
      </c>
      <c r="I35" s="407">
        <f t="shared" si="8"/>
        <v>0</v>
      </c>
      <c r="J35" s="407">
        <f t="shared" si="8"/>
        <v>0</v>
      </c>
      <c r="K35" s="407">
        <f t="shared" si="8"/>
        <v>2000000000</v>
      </c>
      <c r="L35" s="407">
        <f t="shared" si="8"/>
        <v>38.461538461538467</v>
      </c>
      <c r="M35" s="407">
        <f t="shared" si="8"/>
        <v>3200000000</v>
      </c>
      <c r="N35" s="407">
        <f t="shared" si="8"/>
        <v>0</v>
      </c>
      <c r="P35" s="402">
        <f>P22</f>
        <v>3200000000</v>
      </c>
      <c r="Q35" s="404"/>
    </row>
  </sheetData>
  <mergeCells count="20">
    <mergeCell ref="B2:N2"/>
    <mergeCell ref="B3:N3"/>
    <mergeCell ref="B4:N4"/>
    <mergeCell ref="B6:B7"/>
    <mergeCell ref="C6:E7"/>
    <mergeCell ref="F6:G7"/>
    <mergeCell ref="H6:N7"/>
    <mergeCell ref="P10:Q10"/>
    <mergeCell ref="A5:A6"/>
    <mergeCell ref="B13:C13"/>
    <mergeCell ref="N10:N11"/>
    <mergeCell ref="C8:E8"/>
    <mergeCell ref="F8:G8"/>
    <mergeCell ref="H8:N8"/>
    <mergeCell ref="B9:C12"/>
    <mergeCell ref="D9:N9"/>
    <mergeCell ref="F10:G10"/>
    <mergeCell ref="H10:I10"/>
    <mergeCell ref="K10:L10"/>
    <mergeCell ref="M10:M11"/>
  </mergeCells>
  <pageMargins left="0.17" right="0.17" top="0.17" bottom="0.17" header="0.17" footer="0.17"/>
  <pageSetup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59999389629810485"/>
  </sheetPr>
  <dimension ref="A1:S34"/>
  <sheetViews>
    <sheetView zoomScale="90" zoomScaleNormal="90" workbookViewId="0">
      <selection activeCell="C3" sqref="C3:O3"/>
    </sheetView>
  </sheetViews>
  <sheetFormatPr defaultRowHeight="15"/>
  <cols>
    <col min="1" max="1" width="3.28515625" style="34" customWidth="1"/>
    <col min="2" max="2" width="15" style="34" customWidth="1"/>
    <col min="3" max="3" width="51.7109375" style="34" customWidth="1"/>
    <col min="4" max="4" width="16.42578125" style="34" customWidth="1"/>
    <col min="5" max="5" width="9.28515625" style="34" customWidth="1"/>
    <col min="6" max="6" width="16.28515625" style="34" customWidth="1"/>
    <col min="7" max="7" width="11.140625" style="34" customWidth="1"/>
    <col min="8" max="8" width="16.28515625" style="34" customWidth="1"/>
    <col min="9" max="9" width="11.140625" style="34" customWidth="1"/>
    <col min="10" max="10" width="16.85546875" style="34" customWidth="1"/>
    <col min="11" max="11" width="16.28515625" style="34" customWidth="1"/>
    <col min="12" max="12" width="8.28515625" style="34" customWidth="1"/>
    <col min="13" max="13" width="15" style="34" customWidth="1"/>
    <col min="14" max="14" width="11.7109375" style="34" customWidth="1"/>
    <col min="15" max="15" width="9.140625" style="34" hidden="1" customWidth="1"/>
    <col min="16" max="16" width="20.7109375" style="419" hidden="1" customWidth="1"/>
    <col min="17" max="17" width="11.5703125" style="34" hidden="1" customWidth="1"/>
    <col min="18" max="18" width="17.28515625" style="34" hidden="1" customWidth="1"/>
    <col min="19" max="19" width="9.140625" style="34" hidden="1" customWidth="1"/>
    <col min="20" max="25" width="9.140625" style="34" customWidth="1"/>
    <col min="26" max="16384" width="9.140625" style="34"/>
  </cols>
  <sheetData>
    <row r="1" spans="1:19" s="206" customFormat="1" ht="19.5" customHeight="1">
      <c r="A1" s="268"/>
      <c r="B1" s="234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P1" s="418"/>
    </row>
    <row r="2" spans="1:19" s="206" customFormat="1" ht="11.25">
      <c r="A2" s="268"/>
      <c r="B2" s="1228" t="s">
        <v>112</v>
      </c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P2" s="418"/>
    </row>
    <row r="3" spans="1:19" s="206" customFormat="1" ht="12">
      <c r="A3" s="268"/>
      <c r="B3" s="413"/>
      <c r="C3" s="1374" t="s">
        <v>498</v>
      </c>
      <c r="D3" s="1374"/>
      <c r="E3" s="1374"/>
      <c r="F3" s="1374"/>
      <c r="G3" s="1374"/>
      <c r="H3" s="1374"/>
      <c r="I3" s="1374"/>
      <c r="J3" s="1374"/>
      <c r="K3" s="1374"/>
      <c r="L3" s="1374"/>
      <c r="M3" s="1374"/>
      <c r="N3" s="1374"/>
      <c r="O3" s="1374"/>
      <c r="P3" s="418"/>
    </row>
    <row r="4" spans="1:19" s="206" customFormat="1" ht="11.25">
      <c r="A4" s="268"/>
      <c r="B4" s="1229"/>
      <c r="C4" s="1229"/>
      <c r="D4" s="1229"/>
      <c r="E4" s="1229"/>
      <c r="F4" s="1229"/>
      <c r="G4" s="1229"/>
      <c r="H4" s="1229"/>
      <c r="I4" s="1229"/>
      <c r="J4" s="1229"/>
      <c r="K4" s="1229"/>
      <c r="L4" s="1229"/>
      <c r="M4" s="1229"/>
      <c r="N4" s="1229"/>
      <c r="P4" s="418"/>
    </row>
    <row r="5" spans="1:19" s="206" customFormat="1" ht="12" thickBot="1">
      <c r="A5" s="268"/>
      <c r="B5" s="414"/>
      <c r="C5" s="414"/>
      <c r="D5" s="760"/>
      <c r="E5" s="760"/>
      <c r="F5" s="760"/>
      <c r="G5" s="760"/>
      <c r="H5" s="760"/>
      <c r="I5" s="760"/>
      <c r="J5" s="760"/>
      <c r="K5" s="760"/>
      <c r="L5" s="760"/>
      <c r="M5" s="760"/>
      <c r="N5" s="760"/>
      <c r="P5" s="418"/>
    </row>
    <row r="6" spans="1:19" ht="16.5" thickTop="1" thickBot="1">
      <c r="A6" s="415"/>
      <c r="B6" s="1380" t="s">
        <v>113</v>
      </c>
      <c r="C6" s="1381" t="s">
        <v>160</v>
      </c>
      <c r="D6" s="1381"/>
      <c r="E6" s="1381"/>
      <c r="F6" s="1382" t="s">
        <v>3</v>
      </c>
      <c r="G6" s="1382"/>
      <c r="H6" s="1383" t="s">
        <v>179</v>
      </c>
      <c r="I6" s="1383"/>
      <c r="J6" s="1383"/>
      <c r="K6" s="1383"/>
      <c r="L6" s="1383"/>
      <c r="M6" s="1383"/>
      <c r="N6" s="1383"/>
    </row>
    <row r="7" spans="1:19" ht="15.75" thickTop="1">
      <c r="A7" s="62"/>
      <c r="B7" s="1380"/>
      <c r="C7" s="1381"/>
      <c r="D7" s="1381"/>
      <c r="E7" s="1381"/>
      <c r="F7" s="1382"/>
      <c r="G7" s="1382"/>
      <c r="H7" s="1383"/>
      <c r="I7" s="1383"/>
      <c r="J7" s="1383"/>
      <c r="K7" s="1383"/>
      <c r="L7" s="1383"/>
      <c r="M7" s="1383"/>
      <c r="N7" s="1383"/>
    </row>
    <row r="8" spans="1:19">
      <c r="A8" s="62"/>
      <c r="B8" s="291" t="s">
        <v>114</v>
      </c>
      <c r="C8" s="1385" t="s">
        <v>158</v>
      </c>
      <c r="D8" s="1385"/>
      <c r="E8" s="1385"/>
      <c r="F8" s="1386" t="s">
        <v>115</v>
      </c>
      <c r="G8" s="1386"/>
      <c r="H8" s="1387" t="s">
        <v>157</v>
      </c>
      <c r="I8" s="1387"/>
      <c r="J8" s="1387"/>
      <c r="K8" s="1387"/>
      <c r="L8" s="1387"/>
      <c r="M8" s="1387"/>
      <c r="N8" s="1387"/>
    </row>
    <row r="9" spans="1:19" ht="15.75" thickBot="1">
      <c r="A9" s="62"/>
      <c r="B9" s="1388" t="s">
        <v>4</v>
      </c>
      <c r="C9" s="1388"/>
      <c r="D9" s="1389" t="s">
        <v>116</v>
      </c>
      <c r="E9" s="1389"/>
      <c r="F9" s="1389"/>
      <c r="G9" s="1389"/>
      <c r="H9" s="1389"/>
      <c r="I9" s="1389"/>
      <c r="J9" s="1389"/>
      <c r="K9" s="1389"/>
      <c r="L9" s="1389"/>
      <c r="M9" s="1389"/>
      <c r="N9" s="1389"/>
    </row>
    <row r="10" spans="1:19" ht="16.5" thickTop="1" thickBot="1">
      <c r="A10" s="62"/>
      <c r="B10" s="1388"/>
      <c r="C10" s="1388"/>
      <c r="D10" s="260" t="s">
        <v>117</v>
      </c>
      <c r="E10" s="261">
        <v>2025</v>
      </c>
      <c r="F10" s="1390" t="s">
        <v>6</v>
      </c>
      <c r="G10" s="1390"/>
      <c r="H10" s="1390" t="s">
        <v>6</v>
      </c>
      <c r="I10" s="1390"/>
      <c r="J10" s="773" t="s">
        <v>6</v>
      </c>
      <c r="K10" s="1390" t="s">
        <v>6</v>
      </c>
      <c r="L10" s="1390"/>
      <c r="M10" s="1391" t="s">
        <v>118</v>
      </c>
      <c r="N10" s="1392" t="s">
        <v>8</v>
      </c>
      <c r="P10" s="419" t="s">
        <v>6</v>
      </c>
    </row>
    <row r="11" spans="1:19" ht="46.5" thickTop="1" thickBot="1">
      <c r="A11" s="62"/>
      <c r="B11" s="1388"/>
      <c r="C11" s="1388"/>
      <c r="D11" s="218" t="s">
        <v>119</v>
      </c>
      <c r="E11" s="225" t="s">
        <v>10</v>
      </c>
      <c r="F11" s="219" t="s">
        <v>495</v>
      </c>
      <c r="G11" s="226" t="s">
        <v>10</v>
      </c>
      <c r="H11" s="219" t="s">
        <v>496</v>
      </c>
      <c r="I11" s="226" t="s">
        <v>10</v>
      </c>
      <c r="J11" s="227" t="s">
        <v>120</v>
      </c>
      <c r="K11" s="219" t="s">
        <v>12</v>
      </c>
      <c r="L11" s="226" t="s">
        <v>10</v>
      </c>
      <c r="M11" s="1391"/>
      <c r="N11" s="1392"/>
      <c r="P11" s="419" t="s">
        <v>12</v>
      </c>
      <c r="Q11" s="34" t="s">
        <v>10</v>
      </c>
    </row>
    <row r="12" spans="1:19" ht="16.5" thickTop="1" thickBot="1">
      <c r="A12" s="62"/>
      <c r="B12" s="1388"/>
      <c r="C12" s="1388"/>
      <c r="D12" s="220" t="s">
        <v>13</v>
      </c>
      <c r="E12" s="220" t="s">
        <v>14</v>
      </c>
      <c r="F12" s="220" t="s">
        <v>15</v>
      </c>
      <c r="G12" s="220" t="s">
        <v>16</v>
      </c>
      <c r="H12" s="220" t="s">
        <v>17</v>
      </c>
      <c r="I12" s="220" t="s">
        <v>18</v>
      </c>
      <c r="J12" s="220" t="s">
        <v>19</v>
      </c>
      <c r="K12" s="220" t="s">
        <v>20</v>
      </c>
      <c r="L12" s="220" t="s">
        <v>21</v>
      </c>
      <c r="M12" s="220" t="s">
        <v>22</v>
      </c>
      <c r="N12" s="221" t="s">
        <v>23</v>
      </c>
      <c r="P12" s="419" t="s">
        <v>20</v>
      </c>
      <c r="Q12" s="34" t="s">
        <v>21</v>
      </c>
    </row>
    <row r="13" spans="1:19" ht="15.75" thickTop="1">
      <c r="A13" s="62"/>
      <c r="B13" s="1248" t="s">
        <v>32</v>
      </c>
      <c r="C13" s="1248"/>
      <c r="D13" s="194"/>
      <c r="E13" s="222"/>
      <c r="F13" s="194"/>
      <c r="G13" s="222"/>
      <c r="H13" s="194"/>
      <c r="I13" s="222"/>
      <c r="J13" s="223"/>
      <c r="K13" s="194"/>
      <c r="L13" s="222"/>
      <c r="M13" s="194"/>
      <c r="N13" s="228"/>
    </row>
    <row r="14" spans="1:19">
      <c r="A14" s="62"/>
      <c r="B14" s="248" t="s">
        <v>25</v>
      </c>
      <c r="C14" s="229" t="s">
        <v>26</v>
      </c>
      <c r="D14" s="194"/>
      <c r="E14" s="222"/>
      <c r="F14" s="194"/>
      <c r="G14" s="222"/>
      <c r="H14" s="194"/>
      <c r="I14" s="222"/>
      <c r="J14" s="230"/>
      <c r="K14" s="194"/>
      <c r="L14" s="222"/>
      <c r="M14" s="194"/>
      <c r="N14" s="228"/>
    </row>
    <row r="15" spans="1:19" ht="51.75" customHeight="1">
      <c r="A15" s="62"/>
      <c r="B15" s="247" t="s">
        <v>34</v>
      </c>
      <c r="C15" s="289" t="s">
        <v>35</v>
      </c>
      <c r="D15" s="623">
        <v>202443357</v>
      </c>
      <c r="E15" s="262">
        <f>D15/D22*100</f>
        <v>18.86543941818541</v>
      </c>
      <c r="F15" s="232">
        <v>261800000</v>
      </c>
      <c r="G15" s="262">
        <f>F15/F22*100</f>
        <v>20.79097839898348</v>
      </c>
      <c r="H15" s="232">
        <v>261800000</v>
      </c>
      <c r="I15" s="262">
        <f>H15/H22*100</f>
        <v>20.79097839898348</v>
      </c>
      <c r="J15" s="232">
        <f>H15-F15</f>
        <v>0</v>
      </c>
      <c r="K15" s="623">
        <v>69197857</v>
      </c>
      <c r="L15" s="262">
        <f>K15/K22*100</f>
        <v>62.745413002780978</v>
      </c>
      <c r="M15" s="232">
        <f>H15-K15</f>
        <v>192602143</v>
      </c>
      <c r="N15" s="292">
        <f>K15/H15*100</f>
        <v>26.431572574484342</v>
      </c>
      <c r="P15" s="419">
        <v>202443357</v>
      </c>
      <c r="Q15" s="34">
        <v>18.86543941818541</v>
      </c>
      <c r="R15" s="417">
        <f>D15-P15</f>
        <v>0</v>
      </c>
      <c r="S15" s="417">
        <f>E15-Q15</f>
        <v>0</v>
      </c>
    </row>
    <row r="16" spans="1:19">
      <c r="A16" s="62"/>
      <c r="B16" s="247" t="s">
        <v>36</v>
      </c>
      <c r="C16" s="289" t="s">
        <v>37</v>
      </c>
      <c r="D16" s="623">
        <v>32774835</v>
      </c>
      <c r="E16" s="262">
        <f>D16/D22*100</f>
        <v>3.0542452629528509</v>
      </c>
      <c r="F16" s="232">
        <v>38400000</v>
      </c>
      <c r="G16" s="262">
        <f>F16/F22*100</f>
        <v>3.0495552731893265</v>
      </c>
      <c r="H16" s="232">
        <v>38400000</v>
      </c>
      <c r="I16" s="262">
        <f>H16/H22*100</f>
        <v>3.0495552731893265</v>
      </c>
      <c r="J16" s="232">
        <f t="shared" ref="J16:J27" si="0">H16-F16</f>
        <v>0</v>
      </c>
      <c r="K16" s="623">
        <v>11457681</v>
      </c>
      <c r="L16" s="262">
        <f>K16/K22*100</f>
        <v>10.389294662681774</v>
      </c>
      <c r="M16" s="232">
        <f t="shared" ref="M16:M21" si="1">H16-K16</f>
        <v>26942319</v>
      </c>
      <c r="N16" s="292">
        <f t="shared" ref="N16:N32" si="2">K16/H16*100</f>
        <v>29.837710937499999</v>
      </c>
      <c r="P16" s="419">
        <v>32774835</v>
      </c>
      <c r="Q16" s="34">
        <v>3.0542452629528509</v>
      </c>
      <c r="R16" s="417">
        <f t="shared" ref="R16:R34" si="3">D16-P16</f>
        <v>0</v>
      </c>
      <c r="S16" s="417">
        <f t="shared" ref="S16:S34" si="4">E16-Q16</f>
        <v>0</v>
      </c>
    </row>
    <row r="17" spans="1:19">
      <c r="A17" s="62"/>
      <c r="B17" s="247" t="s">
        <v>38</v>
      </c>
      <c r="C17" s="289" t="s">
        <v>39</v>
      </c>
      <c r="D17" s="623">
        <v>236139724</v>
      </c>
      <c r="E17" s="262">
        <f>D17/D22*100</f>
        <v>22.005561078247798</v>
      </c>
      <c r="F17" s="232">
        <v>441000000</v>
      </c>
      <c r="G17" s="262">
        <f>F17/F22*100</f>
        <v>35.022236340533674</v>
      </c>
      <c r="H17" s="232">
        <v>441000000</v>
      </c>
      <c r="I17" s="262">
        <f>H17/H22*100</f>
        <v>35.022236340533674</v>
      </c>
      <c r="J17" s="232">
        <f t="shared" si="0"/>
        <v>0</v>
      </c>
      <c r="K17" s="623">
        <v>10545664</v>
      </c>
      <c r="L17" s="262">
        <f>K17/K22*100</f>
        <v>9.5623198716769409</v>
      </c>
      <c r="M17" s="232">
        <f t="shared" si="1"/>
        <v>430454336</v>
      </c>
      <c r="N17" s="292">
        <f t="shared" si="2"/>
        <v>2.3913070294784582</v>
      </c>
      <c r="P17" s="419">
        <v>236139724</v>
      </c>
      <c r="Q17" s="34">
        <v>22.005561078247798</v>
      </c>
      <c r="R17" s="417">
        <f t="shared" si="3"/>
        <v>0</v>
      </c>
      <c r="S17" s="417">
        <f t="shared" si="4"/>
        <v>0</v>
      </c>
    </row>
    <row r="18" spans="1:19" ht="15.75" customHeight="1">
      <c r="A18" s="62"/>
      <c r="B18" s="247" t="s">
        <v>40</v>
      </c>
      <c r="C18" s="289" t="s">
        <v>41</v>
      </c>
      <c r="D18" s="623"/>
      <c r="E18" s="262">
        <f>D18/D22*100</f>
        <v>0</v>
      </c>
      <c r="F18" s="232"/>
      <c r="G18" s="262">
        <f>F18/F22*100</f>
        <v>0</v>
      </c>
      <c r="H18" s="232"/>
      <c r="I18" s="262">
        <f>H18/H22*100</f>
        <v>0</v>
      </c>
      <c r="J18" s="232">
        <f t="shared" si="0"/>
        <v>0</v>
      </c>
      <c r="K18" s="623"/>
      <c r="L18" s="262">
        <f>K18/K22*100</f>
        <v>0</v>
      </c>
      <c r="M18" s="232">
        <f t="shared" si="1"/>
        <v>0</v>
      </c>
      <c r="N18" s="292" t="e">
        <f t="shared" si="2"/>
        <v>#DIV/0!</v>
      </c>
      <c r="Q18" s="34">
        <v>0</v>
      </c>
      <c r="R18" s="417">
        <f t="shared" si="3"/>
        <v>0</v>
      </c>
      <c r="S18" s="417">
        <f t="shared" si="4"/>
        <v>0</v>
      </c>
    </row>
    <row r="19" spans="1:19">
      <c r="A19" s="62"/>
      <c r="B19" s="247" t="s">
        <v>42</v>
      </c>
      <c r="C19" s="289" t="s">
        <v>43</v>
      </c>
      <c r="D19" s="623">
        <v>590130885.82999992</v>
      </c>
      <c r="E19" s="262">
        <f>D19/D22*100</f>
        <v>54.993548024526959</v>
      </c>
      <c r="F19" s="232">
        <v>500000000</v>
      </c>
      <c r="G19" s="262">
        <f>F19/F22*100</f>
        <v>39.707750952986018</v>
      </c>
      <c r="H19" s="232">
        <v>500000000</v>
      </c>
      <c r="I19" s="262">
        <f>H19/H22*100</f>
        <v>39.707750952986018</v>
      </c>
      <c r="J19" s="232">
        <f t="shared" si="0"/>
        <v>0</v>
      </c>
      <c r="K19" s="623">
        <v>8971865</v>
      </c>
      <c r="L19" s="262">
        <f>K19/K22*100</f>
        <v>8.1352718022784369</v>
      </c>
      <c r="M19" s="232">
        <f t="shared" si="1"/>
        <v>491028135</v>
      </c>
      <c r="N19" s="292">
        <f t="shared" si="2"/>
        <v>1.7943730000000002</v>
      </c>
      <c r="P19" s="419">
        <v>590130885.82999992</v>
      </c>
      <c r="Q19" s="34">
        <v>54.993548024526959</v>
      </c>
      <c r="R19" s="417">
        <f t="shared" si="3"/>
        <v>0</v>
      </c>
      <c r="S19" s="417">
        <f t="shared" si="4"/>
        <v>0</v>
      </c>
    </row>
    <row r="20" spans="1:19">
      <c r="A20" s="62"/>
      <c r="B20" s="247" t="s">
        <v>44</v>
      </c>
      <c r="C20" s="289" t="s">
        <v>45</v>
      </c>
      <c r="D20" s="623">
        <v>10978573</v>
      </c>
      <c r="E20" s="262">
        <f>D20/D22*100</f>
        <v>1.0230792795518899</v>
      </c>
      <c r="F20" s="232">
        <v>18000000</v>
      </c>
      <c r="G20" s="262">
        <v>1.4294790343074968</v>
      </c>
      <c r="H20" s="232">
        <v>18000000</v>
      </c>
      <c r="I20" s="262">
        <f>H20/H22*100</f>
        <v>1.4294790343074968</v>
      </c>
      <c r="J20" s="232">
        <f t="shared" si="0"/>
        <v>0</v>
      </c>
      <c r="K20" s="623">
        <v>10110464</v>
      </c>
      <c r="L20" s="262">
        <f>K20/K22*100</f>
        <v>9.1677006605818594</v>
      </c>
      <c r="M20" s="232">
        <f t="shared" si="1"/>
        <v>7889536</v>
      </c>
      <c r="N20" s="292">
        <f t="shared" si="2"/>
        <v>56.169244444444445</v>
      </c>
      <c r="P20" s="419">
        <v>10978573</v>
      </c>
      <c r="Q20" s="34">
        <v>1.0230792795518899</v>
      </c>
      <c r="R20" s="417">
        <f t="shared" si="3"/>
        <v>0</v>
      </c>
      <c r="S20" s="417">
        <f t="shared" si="4"/>
        <v>0</v>
      </c>
    </row>
    <row r="21" spans="1:19" ht="16.5" customHeight="1">
      <c r="A21" s="62"/>
      <c r="B21" s="247" t="s">
        <v>46</v>
      </c>
      <c r="C21" s="289" t="s">
        <v>47</v>
      </c>
      <c r="D21" s="623">
        <v>623755</v>
      </c>
      <c r="E21" s="262">
        <f>D21/D22*100</f>
        <v>5.8126936535093321E-2</v>
      </c>
      <c r="F21" s="232"/>
      <c r="G21" s="262"/>
      <c r="H21" s="232"/>
      <c r="I21" s="262">
        <f>H21/H22*100</f>
        <v>0</v>
      </c>
      <c r="J21" s="232">
        <f t="shared" si="0"/>
        <v>0</v>
      </c>
      <c r="K21" s="623"/>
      <c r="L21" s="262">
        <f>K21/K22*100</f>
        <v>0</v>
      </c>
      <c r="M21" s="232">
        <f t="shared" si="1"/>
        <v>0</v>
      </c>
      <c r="N21" s="292" t="e">
        <f t="shared" si="2"/>
        <v>#DIV/0!</v>
      </c>
      <c r="P21" s="419">
        <v>623755</v>
      </c>
      <c r="Q21" s="34">
        <v>5.8126936535093321E-2</v>
      </c>
      <c r="R21" s="417">
        <f t="shared" si="3"/>
        <v>0</v>
      </c>
      <c r="S21" s="417">
        <f t="shared" si="4"/>
        <v>0</v>
      </c>
    </row>
    <row r="22" spans="1:19" s="130" customFormat="1">
      <c r="A22" s="128"/>
      <c r="B22" s="281"/>
      <c r="C22" s="282" t="s">
        <v>121</v>
      </c>
      <c r="D22" s="213">
        <f>SUM(D15:D21)</f>
        <v>1073091129.8299999</v>
      </c>
      <c r="E22" s="283">
        <f>D22/D33*100</f>
        <v>44.575241073224007</v>
      </c>
      <c r="F22" s="213">
        <f>SUM(F15:F21)</f>
        <v>1259200000</v>
      </c>
      <c r="G22" s="283">
        <f>F22/F33*100</f>
        <v>21.743146988992013</v>
      </c>
      <c r="H22" s="213">
        <f>SUM(H15:H21)</f>
        <v>1259200000</v>
      </c>
      <c r="I22" s="283">
        <f>H22/H33*100</f>
        <v>21.743146988992013</v>
      </c>
      <c r="J22" s="213">
        <f>SUM(J15:J21)</f>
        <v>0</v>
      </c>
      <c r="K22" s="213">
        <f>SUM(K15:K21)</f>
        <v>110283531</v>
      </c>
      <c r="L22" s="283">
        <f>K22/K33*100</f>
        <v>75.575547134571678</v>
      </c>
      <c r="M22" s="213">
        <f>SUM(M15:M21)</f>
        <v>1148916469</v>
      </c>
      <c r="N22" s="284">
        <f t="shared" si="2"/>
        <v>8.7582219663278273</v>
      </c>
      <c r="P22" s="420">
        <v>1073091129.8299999</v>
      </c>
      <c r="Q22" s="130">
        <v>43.644519880506508</v>
      </c>
      <c r="R22" s="417">
        <f t="shared" si="3"/>
        <v>0</v>
      </c>
      <c r="S22" s="417">
        <f t="shared" si="4"/>
        <v>0.93072119271749898</v>
      </c>
    </row>
    <row r="23" spans="1:19">
      <c r="A23" s="62"/>
      <c r="B23" s="210" t="s">
        <v>49</v>
      </c>
      <c r="C23" s="211" t="s">
        <v>50</v>
      </c>
      <c r="D23" s="209">
        <v>13253510</v>
      </c>
      <c r="E23" s="212">
        <f>D23/D25*100</f>
        <v>0.99858741145169272</v>
      </c>
      <c r="F23" s="209">
        <v>0</v>
      </c>
      <c r="G23" s="212">
        <f>F23/F25*100</f>
        <v>0</v>
      </c>
      <c r="H23" s="209"/>
      <c r="I23" s="212">
        <f>H23/H25*100</f>
        <v>0</v>
      </c>
      <c r="J23" s="209">
        <f t="shared" si="0"/>
        <v>0</v>
      </c>
      <c r="K23" s="209"/>
      <c r="L23" s="212">
        <f>K23/K25*100</f>
        <v>0</v>
      </c>
      <c r="M23" s="209">
        <v>0</v>
      </c>
      <c r="N23" s="212" t="e">
        <f t="shared" si="2"/>
        <v>#DIV/0!</v>
      </c>
      <c r="P23" s="419">
        <v>13253510</v>
      </c>
      <c r="Q23" s="34">
        <v>0.99858741145169272</v>
      </c>
      <c r="R23" s="417">
        <f t="shared" si="3"/>
        <v>0</v>
      </c>
      <c r="S23" s="417">
        <f t="shared" si="4"/>
        <v>0</v>
      </c>
    </row>
    <row r="24" spans="1:19">
      <c r="A24" s="62"/>
      <c r="B24" s="210" t="s">
        <v>51</v>
      </c>
      <c r="C24" s="211" t="s">
        <v>52</v>
      </c>
      <c r="D24" s="209">
        <v>1313972314</v>
      </c>
      <c r="E24" s="212">
        <f>D24/D25*100</f>
        <v>99.001412588548305</v>
      </c>
      <c r="F24" s="209">
        <v>2520000000</v>
      </c>
      <c r="G24" s="212">
        <f>F24/F25*100</f>
        <v>100</v>
      </c>
      <c r="H24" s="209">
        <v>2520000000</v>
      </c>
      <c r="I24" s="212">
        <f>H24/H25*100</f>
        <v>100</v>
      </c>
      <c r="J24" s="209">
        <f>H24-F24</f>
        <v>0</v>
      </c>
      <c r="K24" s="209">
        <v>18375434</v>
      </c>
      <c r="L24" s="212">
        <f>K24/K25*100</f>
        <v>100</v>
      </c>
      <c r="M24" s="209"/>
      <c r="N24" s="434">
        <f t="shared" si="2"/>
        <v>0.72918388888888885</v>
      </c>
      <c r="P24" s="419">
        <v>1313972314</v>
      </c>
      <c r="Q24" s="34">
        <v>99.001412588548305</v>
      </c>
      <c r="R24" s="417">
        <f t="shared" si="3"/>
        <v>0</v>
      </c>
      <c r="S24" s="417">
        <f t="shared" si="4"/>
        <v>0</v>
      </c>
    </row>
    <row r="25" spans="1:19">
      <c r="A25" s="62"/>
      <c r="B25" s="281"/>
      <c r="C25" s="282" t="s">
        <v>122</v>
      </c>
      <c r="D25" s="213">
        <f>D23+D24</f>
        <v>1327225824</v>
      </c>
      <c r="E25" s="213">
        <f>D25/D33*100</f>
        <v>55.131767860927873</v>
      </c>
      <c r="F25" s="213">
        <f>F23+F24</f>
        <v>2520000000</v>
      </c>
      <c r="G25" s="213">
        <f>F25/F33*100</f>
        <v>43.513921864882363</v>
      </c>
      <c r="H25" s="213">
        <f>H23+H24</f>
        <v>2520000000</v>
      </c>
      <c r="I25" s="213">
        <f>H25/H33*100</f>
        <v>43.513921864882363</v>
      </c>
      <c r="J25" s="213">
        <f>J23+J24</f>
        <v>0</v>
      </c>
      <c r="K25" s="213">
        <f>K23+K24</f>
        <v>18375434</v>
      </c>
      <c r="L25" s="213">
        <f>K25/K33*100</f>
        <v>12.592392225682463</v>
      </c>
      <c r="M25" s="213">
        <f>M23+M24</f>
        <v>0</v>
      </c>
      <c r="N25" s="620">
        <f t="shared" si="2"/>
        <v>0.72918388888888885</v>
      </c>
      <c r="P25" s="419">
        <v>1327225824</v>
      </c>
      <c r="Q25" s="34">
        <v>53.980628719451204</v>
      </c>
      <c r="R25" s="417">
        <f t="shared" si="3"/>
        <v>0</v>
      </c>
      <c r="S25" s="417">
        <f t="shared" si="4"/>
        <v>1.1511391414766692</v>
      </c>
    </row>
    <row r="26" spans="1:19">
      <c r="A26" s="62"/>
      <c r="B26" s="210" t="s">
        <v>49</v>
      </c>
      <c r="C26" s="211" t="s">
        <v>50</v>
      </c>
      <c r="D26" s="209">
        <v>0</v>
      </c>
      <c r="E26" s="209">
        <f>D26/D28*100</f>
        <v>0</v>
      </c>
      <c r="F26" s="209">
        <v>0</v>
      </c>
      <c r="G26" s="209">
        <f>F26/F28*100</f>
        <v>0</v>
      </c>
      <c r="H26" s="209">
        <v>0</v>
      </c>
      <c r="I26" s="209">
        <f>H26/H28*100</f>
        <v>0</v>
      </c>
      <c r="J26" s="209">
        <f t="shared" si="0"/>
        <v>0</v>
      </c>
      <c r="K26" s="209">
        <v>0</v>
      </c>
      <c r="L26" s="209">
        <f>K26/K28*100</f>
        <v>0</v>
      </c>
      <c r="M26" s="209"/>
      <c r="N26" s="216" t="e">
        <f t="shared" si="2"/>
        <v>#DIV/0!</v>
      </c>
      <c r="P26" s="419">
        <v>0</v>
      </c>
      <c r="Q26" s="34">
        <v>0</v>
      </c>
      <c r="R26" s="417">
        <f t="shared" si="3"/>
        <v>0</v>
      </c>
      <c r="S26" s="417">
        <f t="shared" si="4"/>
        <v>0</v>
      </c>
    </row>
    <row r="27" spans="1:19">
      <c r="A27" s="62"/>
      <c r="B27" s="210" t="s">
        <v>51</v>
      </c>
      <c r="C27" s="211" t="s">
        <v>52</v>
      </c>
      <c r="D27" s="209">
        <v>51337272</v>
      </c>
      <c r="E27" s="961">
        <f>D27/D28*100</f>
        <v>100</v>
      </c>
      <c r="F27" s="961">
        <v>2012050000</v>
      </c>
      <c r="G27" s="961">
        <f>F27/F28*100</f>
        <v>100</v>
      </c>
      <c r="H27" s="961">
        <v>2012050000</v>
      </c>
      <c r="I27" s="961">
        <f>H27/H28*100</f>
        <v>100</v>
      </c>
      <c r="J27" s="209">
        <f t="shared" si="0"/>
        <v>0</v>
      </c>
      <c r="K27" s="209">
        <v>17265921</v>
      </c>
      <c r="L27" s="209">
        <f>K27/K28*100</f>
        <v>100</v>
      </c>
      <c r="M27" s="209"/>
      <c r="N27" s="216">
        <f>K27/H27*100</f>
        <v>0.85812584180313611</v>
      </c>
      <c r="P27" s="419">
        <v>51337272</v>
      </c>
      <c r="Q27" s="34">
        <v>100</v>
      </c>
      <c r="R27" s="417">
        <f>D27-P27</f>
        <v>0</v>
      </c>
      <c r="S27" s="417">
        <f t="shared" si="4"/>
        <v>0</v>
      </c>
    </row>
    <row r="28" spans="1:19">
      <c r="A28" s="62"/>
      <c r="B28" s="422"/>
      <c r="C28" s="423" t="s">
        <v>123</v>
      </c>
      <c r="D28" s="424">
        <f>D26+D27</f>
        <v>51337272</v>
      </c>
      <c r="E28" s="424">
        <f>D28/D33*100</f>
        <v>2.1325041385853205</v>
      </c>
      <c r="F28" s="424">
        <f>F26+F27</f>
        <v>2012050000</v>
      </c>
      <c r="G28" s="424">
        <f>F28/F33*100</f>
        <v>34.742931146125621</v>
      </c>
      <c r="H28" s="424">
        <f>H26+H27</f>
        <v>2012050000</v>
      </c>
      <c r="I28" s="424">
        <f>H28/H33*100</f>
        <v>34.742931146125621</v>
      </c>
      <c r="J28" s="424">
        <f>J26+J27</f>
        <v>0</v>
      </c>
      <c r="K28" s="424">
        <f>K26+K27</f>
        <v>17265921</v>
      </c>
      <c r="L28" s="424">
        <f>K28/K33*100</f>
        <v>11.832060639745848</v>
      </c>
      <c r="M28" s="424">
        <f>M26+M27</f>
        <v>0</v>
      </c>
      <c r="N28" s="425">
        <f>K28/H28*100</f>
        <v>0.85812584180313611</v>
      </c>
      <c r="P28" s="419">
        <v>51337272</v>
      </c>
      <c r="Q28" s="34">
        <v>2.087977922965337</v>
      </c>
      <c r="R28" s="417">
        <f t="shared" si="3"/>
        <v>0</v>
      </c>
      <c r="S28" s="417">
        <f t="shared" si="4"/>
        <v>4.4526215619983489E-2</v>
      </c>
    </row>
    <row r="29" spans="1:19">
      <c r="A29" s="62"/>
      <c r="B29" s="285"/>
      <c r="C29" s="286" t="s">
        <v>124</v>
      </c>
      <c r="D29" s="214">
        <f>D25+D28</f>
        <v>1378563096</v>
      </c>
      <c r="E29" s="214">
        <f>E25</f>
        <v>55.131767860927873</v>
      </c>
      <c r="F29" s="214">
        <f>F25+F28</f>
        <v>4532050000</v>
      </c>
      <c r="G29" s="214">
        <f>G25</f>
        <v>43.513921864882363</v>
      </c>
      <c r="H29" s="214">
        <f>H25+H28</f>
        <v>4532050000</v>
      </c>
      <c r="I29" s="214">
        <f>I25</f>
        <v>43.513921864882363</v>
      </c>
      <c r="J29" s="209">
        <f>J25+J28</f>
        <v>0</v>
      </c>
      <c r="K29" s="214">
        <f>K25+K28</f>
        <v>35641355</v>
      </c>
      <c r="L29" s="214">
        <f>L25</f>
        <v>12.592392225682463</v>
      </c>
      <c r="M29" s="214">
        <f>M25+M28</f>
        <v>0</v>
      </c>
      <c r="N29" s="626">
        <f>K29/H29*100</f>
        <v>0.78642898908882297</v>
      </c>
      <c r="P29" s="419">
        <v>1378563096</v>
      </c>
      <c r="Q29" s="34">
        <v>53.980628719451204</v>
      </c>
      <c r="R29" s="417">
        <f t="shared" si="3"/>
        <v>0</v>
      </c>
      <c r="S29" s="417">
        <f t="shared" si="4"/>
        <v>1.1511391414766692</v>
      </c>
    </row>
    <row r="30" spans="1:19">
      <c r="A30" s="62"/>
      <c r="B30" s="281"/>
      <c r="C30" s="282" t="s">
        <v>125</v>
      </c>
      <c r="D30" s="213">
        <f>D22+D25+D28-D27</f>
        <v>2400316953.8299999</v>
      </c>
      <c r="E30" s="213">
        <f>E25</f>
        <v>55.131767860927873</v>
      </c>
      <c r="F30" s="213">
        <f t="shared" ref="F30:J30" si="5">F22+F25+F28</f>
        <v>5791250000</v>
      </c>
      <c r="G30" s="213">
        <f>G25</f>
        <v>43.513921864882363</v>
      </c>
      <c r="H30" s="213">
        <f>H22+H25+H28</f>
        <v>5791250000</v>
      </c>
      <c r="I30" s="213">
        <f>I25</f>
        <v>43.513921864882363</v>
      </c>
      <c r="J30" s="213">
        <f t="shared" si="5"/>
        <v>0</v>
      </c>
      <c r="K30" s="213">
        <f>K22+K25+K27</f>
        <v>145924886</v>
      </c>
      <c r="L30" s="213">
        <f>L25</f>
        <v>12.592392225682463</v>
      </c>
      <c r="M30" s="213">
        <f>M22+M25+M28</f>
        <v>1148916469</v>
      </c>
      <c r="N30" s="284">
        <f>K30/H30*100</f>
        <v>2.5197476537880426</v>
      </c>
      <c r="P30" s="421">
        <v>2451654225.8299999</v>
      </c>
      <c r="Q30" s="34">
        <v>53.980628719451204</v>
      </c>
      <c r="R30" s="417">
        <f t="shared" si="3"/>
        <v>-51337272</v>
      </c>
      <c r="S30" s="417">
        <f t="shared" si="4"/>
        <v>1.1511391414766692</v>
      </c>
    </row>
    <row r="31" spans="1:19">
      <c r="A31" s="62"/>
      <c r="B31" s="129"/>
      <c r="C31" s="286" t="s">
        <v>126</v>
      </c>
      <c r="D31" s="624">
        <v>7053380</v>
      </c>
      <c r="E31" s="427"/>
      <c r="F31" s="427"/>
      <c r="G31" s="427"/>
      <c r="H31" s="427"/>
      <c r="I31" s="427"/>
      <c r="J31" s="427">
        <f>H31-F31</f>
        <v>0</v>
      </c>
      <c r="K31" s="625"/>
      <c r="L31" s="427"/>
      <c r="M31" s="427"/>
      <c r="N31" s="428" t="e">
        <f t="shared" si="2"/>
        <v>#DIV/0!</v>
      </c>
      <c r="P31" s="419">
        <v>7053380</v>
      </c>
      <c r="R31" s="417">
        <f t="shared" si="3"/>
        <v>0</v>
      </c>
      <c r="S31" s="417">
        <f t="shared" si="4"/>
        <v>0</v>
      </c>
    </row>
    <row r="32" spans="1:19">
      <c r="A32" s="62"/>
      <c r="B32" s="129"/>
      <c r="C32" s="286" t="s">
        <v>127</v>
      </c>
      <c r="D32" s="625">
        <v>0</v>
      </c>
      <c r="E32" s="427"/>
      <c r="F32" s="427"/>
      <c r="G32" s="427"/>
      <c r="H32" s="427">
        <v>0</v>
      </c>
      <c r="I32" s="427"/>
      <c r="J32" s="427">
        <f>H32-F32</f>
        <v>0</v>
      </c>
      <c r="K32" s="625">
        <v>0</v>
      </c>
      <c r="L32" s="427"/>
      <c r="M32" s="427"/>
      <c r="N32" s="428" t="e">
        <f t="shared" si="2"/>
        <v>#DIV/0!</v>
      </c>
      <c r="P32" s="419">
        <v>0</v>
      </c>
      <c r="R32" s="417">
        <f t="shared" si="3"/>
        <v>0</v>
      </c>
      <c r="S32" s="417">
        <f t="shared" si="4"/>
        <v>0</v>
      </c>
    </row>
    <row r="33" spans="1:19" ht="15.75" thickBot="1">
      <c r="A33" s="62"/>
      <c r="B33" s="129"/>
      <c r="C33" s="286" t="s">
        <v>128</v>
      </c>
      <c r="D33" s="429">
        <v>2407370333.8299999</v>
      </c>
      <c r="E33" s="427">
        <v>101.83951307273719</v>
      </c>
      <c r="F33" s="429">
        <v>5791250000</v>
      </c>
      <c r="G33" s="427">
        <v>100</v>
      </c>
      <c r="H33" s="429">
        <v>5791250000</v>
      </c>
      <c r="I33" s="427">
        <v>100</v>
      </c>
      <c r="J33" s="429">
        <v>0</v>
      </c>
      <c r="K33" s="429">
        <v>145924886</v>
      </c>
      <c r="L33" s="427">
        <v>99.999999999999986</v>
      </c>
      <c r="M33" s="427">
        <v>1148916469</v>
      </c>
      <c r="N33" s="428">
        <v>2.5197476537880426</v>
      </c>
      <c r="P33" s="419">
        <v>2458707605.8299999</v>
      </c>
      <c r="Q33" s="34">
        <v>99.713126522923048</v>
      </c>
      <c r="R33" s="417">
        <f>D33-P33</f>
        <v>-51337272</v>
      </c>
      <c r="S33" s="417">
        <f t="shared" si="4"/>
        <v>2.1263865498141428</v>
      </c>
    </row>
    <row r="34" spans="1:19" ht="15.75" thickTop="1">
      <c r="A34" s="62"/>
      <c r="B34" s="1384" t="s">
        <v>129</v>
      </c>
      <c r="C34" s="1384"/>
      <c r="D34" s="231"/>
      <c r="E34" s="263"/>
      <c r="F34" s="231"/>
      <c r="G34" s="263"/>
      <c r="H34" s="231"/>
      <c r="I34" s="263"/>
      <c r="J34" s="264"/>
      <c r="K34" s="231"/>
      <c r="L34" s="263"/>
      <c r="M34" s="231"/>
      <c r="N34" s="292" t="e">
        <f t="shared" ref="N34" si="6">K34/H34*100</f>
        <v>#DIV/0!</v>
      </c>
      <c r="R34" s="417">
        <f t="shared" si="3"/>
        <v>0</v>
      </c>
      <c r="S34" s="417">
        <f t="shared" si="4"/>
        <v>0</v>
      </c>
    </row>
  </sheetData>
  <mergeCells count="19">
    <mergeCell ref="B13:C13"/>
    <mergeCell ref="B34:C34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  <mergeCell ref="B2:N2"/>
    <mergeCell ref="B4:N4"/>
    <mergeCell ref="B6:B7"/>
    <mergeCell ref="C6:E7"/>
    <mergeCell ref="F6:G7"/>
    <mergeCell ref="H6:N7"/>
    <mergeCell ref="C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A1:T23"/>
  <sheetViews>
    <sheetView topLeftCell="B1" workbookViewId="0">
      <selection activeCell="I26" sqref="I26"/>
    </sheetView>
  </sheetViews>
  <sheetFormatPr defaultRowHeight="15"/>
  <cols>
    <col min="1" max="1" width="2.7109375" style="34" hidden="1" customWidth="1"/>
    <col min="2" max="2" width="0.140625" style="34" customWidth="1"/>
    <col min="3" max="3" width="4.5703125" style="34" customWidth="1"/>
    <col min="4" max="4" width="1.28515625" style="34" customWidth="1"/>
    <col min="5" max="5" width="4.7109375" style="34" customWidth="1"/>
    <col min="6" max="6" width="29.28515625" style="34" customWidth="1"/>
    <col min="7" max="7" width="6" style="34" customWidth="1"/>
    <col min="8" max="8" width="12.5703125" style="34" customWidth="1"/>
    <col min="9" max="9" width="7.42578125" style="34" customWidth="1"/>
    <col min="10" max="10" width="13.140625" style="34" customWidth="1"/>
    <col min="11" max="11" width="10.5703125" style="34" customWidth="1"/>
    <col min="12" max="12" width="10.85546875" style="34" customWidth="1"/>
    <col min="13" max="13" width="11.140625" style="34" customWidth="1"/>
    <col min="14" max="15" width="10.5703125" style="34" customWidth="1"/>
    <col min="16" max="16" width="8.28515625" style="34" customWidth="1"/>
    <col min="17" max="17" width="8" style="34" customWidth="1"/>
    <col min="18" max="18" width="10.5703125" style="34" customWidth="1"/>
    <col min="19" max="19" width="11.5703125" style="34" customWidth="1"/>
    <col min="20" max="20" width="11.140625" style="34" customWidth="1"/>
    <col min="21" max="16384" width="9.140625" style="34"/>
  </cols>
  <sheetData>
    <row r="1" spans="1:20" ht="20.100000000000001" customHeight="1">
      <c r="A1" s="976"/>
      <c r="B1" s="976"/>
      <c r="C1" s="977"/>
      <c r="D1" s="976"/>
      <c r="E1" s="976"/>
      <c r="F1" s="976"/>
      <c r="G1" s="976"/>
      <c r="H1" s="976"/>
      <c r="I1" s="976"/>
      <c r="J1" s="976"/>
      <c r="K1" s="976"/>
      <c r="L1" s="976"/>
      <c r="M1" s="976"/>
      <c r="N1" s="976"/>
      <c r="O1" s="976"/>
      <c r="P1" s="976"/>
      <c r="Q1" s="976"/>
      <c r="R1" s="976"/>
      <c r="S1" s="976"/>
      <c r="T1" s="976"/>
    </row>
    <row r="2" spans="1:20" ht="18" customHeight="1">
      <c r="A2" s="62"/>
      <c r="B2" s="62"/>
      <c r="C2" s="1322" t="s">
        <v>135</v>
      </c>
      <c r="D2" s="1322"/>
      <c r="E2" s="1322"/>
      <c r="F2" s="1322"/>
      <c r="G2" s="1322"/>
      <c r="H2" s="1322"/>
      <c r="I2" s="1322"/>
      <c r="J2" s="1322"/>
      <c r="K2" s="1322"/>
      <c r="L2" s="1322"/>
      <c r="M2" s="1322"/>
      <c r="N2" s="1322"/>
      <c r="O2" s="1322"/>
      <c r="P2" s="1322"/>
      <c r="Q2" s="1322"/>
      <c r="R2" s="1322"/>
      <c r="S2" s="1322"/>
      <c r="T2" s="62"/>
    </row>
    <row r="3" spans="1:20" ht="21" customHeight="1">
      <c r="A3" s="62"/>
      <c r="B3" s="62"/>
      <c r="C3" s="1323" t="s">
        <v>540</v>
      </c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</row>
    <row r="4" spans="1:20" ht="21" customHeight="1" thickBot="1">
      <c r="A4" s="62"/>
      <c r="B4" s="62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  <c r="N4" s="766"/>
      <c r="O4" s="766"/>
      <c r="P4" s="766"/>
      <c r="Q4" s="766"/>
      <c r="R4" s="766"/>
      <c r="S4" s="766" t="s">
        <v>493</v>
      </c>
      <c r="T4" s="766"/>
    </row>
    <row r="5" spans="1:20" ht="19.5" customHeight="1" thickBot="1">
      <c r="A5" s="1281"/>
      <c r="B5" s="1281"/>
      <c r="C5" s="1396" t="s">
        <v>63</v>
      </c>
      <c r="D5" s="1398" t="s">
        <v>25</v>
      </c>
      <c r="E5" s="1398"/>
      <c r="F5" s="1398" t="s">
        <v>96</v>
      </c>
      <c r="G5" s="1398" t="s">
        <v>64</v>
      </c>
      <c r="H5" s="1400" t="s">
        <v>65</v>
      </c>
      <c r="I5" s="1398" t="s">
        <v>6</v>
      </c>
      <c r="J5" s="1398" t="s">
        <v>66</v>
      </c>
      <c r="K5" s="1403" t="s">
        <v>67</v>
      </c>
      <c r="L5" s="1403"/>
      <c r="M5" s="1403"/>
      <c r="N5" s="1403"/>
      <c r="O5" s="1403"/>
      <c r="P5" s="1403"/>
      <c r="Q5" s="1403"/>
      <c r="R5" s="1403"/>
      <c r="S5" s="1403"/>
      <c r="T5" s="1404"/>
    </row>
    <row r="6" spans="1:20" ht="15" customHeight="1" thickTop="1" thickBot="1">
      <c r="A6" s="1281"/>
      <c r="B6" s="1281"/>
      <c r="C6" s="1397"/>
      <c r="D6" s="1399"/>
      <c r="E6" s="1399"/>
      <c r="F6" s="1399"/>
      <c r="G6" s="1399"/>
      <c r="H6" s="1401"/>
      <c r="I6" s="1399"/>
      <c r="J6" s="1402"/>
      <c r="K6" s="1131" t="s">
        <v>49</v>
      </c>
      <c r="L6" s="1132" t="s">
        <v>51</v>
      </c>
      <c r="M6" s="1132" t="s">
        <v>34</v>
      </c>
      <c r="N6" s="1132" t="s">
        <v>36</v>
      </c>
      <c r="O6" s="1132" t="s">
        <v>38</v>
      </c>
      <c r="P6" s="1132" t="s">
        <v>40</v>
      </c>
      <c r="Q6" s="1132" t="s">
        <v>42</v>
      </c>
      <c r="R6" s="1132" t="s">
        <v>44</v>
      </c>
      <c r="S6" s="1132" t="s">
        <v>46</v>
      </c>
      <c r="T6" s="1133" t="s">
        <v>68</v>
      </c>
    </row>
    <row r="7" spans="1:20" ht="51" customHeight="1" thickTop="1">
      <c r="A7" s="62"/>
      <c r="B7" s="62"/>
      <c r="C7" s="1397"/>
      <c r="D7" s="1399"/>
      <c r="E7" s="1399"/>
      <c r="F7" s="1399"/>
      <c r="G7" s="1399"/>
      <c r="H7" s="1401"/>
      <c r="I7" s="1134" t="s">
        <v>69</v>
      </c>
      <c r="J7" s="1399"/>
      <c r="K7" s="1135" t="s">
        <v>136</v>
      </c>
      <c r="L7" s="1135" t="s">
        <v>137</v>
      </c>
      <c r="M7" s="1135" t="s">
        <v>72</v>
      </c>
      <c r="N7" s="1135" t="s">
        <v>138</v>
      </c>
      <c r="O7" s="1135" t="s">
        <v>139</v>
      </c>
      <c r="P7" s="1135" t="s">
        <v>140</v>
      </c>
      <c r="Q7" s="1135" t="s">
        <v>141</v>
      </c>
      <c r="R7" s="1135" t="s">
        <v>142</v>
      </c>
      <c r="S7" s="1135" t="s">
        <v>78</v>
      </c>
      <c r="T7" s="1136" t="s">
        <v>68</v>
      </c>
    </row>
    <row r="8" spans="1:20" ht="23.1" customHeight="1">
      <c r="A8" s="62"/>
      <c r="B8" s="62"/>
      <c r="C8" s="978">
        <v>17</v>
      </c>
      <c r="D8" s="1393" t="s">
        <v>27</v>
      </c>
      <c r="E8" s="1393"/>
      <c r="F8" s="979" t="s">
        <v>28</v>
      </c>
      <c r="G8" s="980" t="s">
        <v>79</v>
      </c>
      <c r="H8" s="981" t="s">
        <v>80</v>
      </c>
      <c r="I8" s="980">
        <v>2025</v>
      </c>
      <c r="J8" s="982" t="s">
        <v>81</v>
      </c>
      <c r="K8" s="983"/>
      <c r="L8" s="984">
        <v>80000000</v>
      </c>
      <c r="M8" s="984">
        <v>612980000</v>
      </c>
      <c r="N8" s="984">
        <v>114900000</v>
      </c>
      <c r="O8" s="984">
        <v>399896000</v>
      </c>
      <c r="P8" s="984"/>
      <c r="Q8" s="984"/>
      <c r="R8" s="984">
        <v>275424000</v>
      </c>
      <c r="S8" s="984">
        <v>33000000</v>
      </c>
      <c r="T8" s="985">
        <f t="shared" ref="T8:T19" si="0">SUM(K8:S8)</f>
        <v>1516200000</v>
      </c>
    </row>
    <row r="9" spans="1:20" ht="23.1" customHeight="1">
      <c r="A9" s="62"/>
      <c r="B9" s="62"/>
      <c r="C9" s="978">
        <v>17</v>
      </c>
      <c r="D9" s="1393" t="s">
        <v>27</v>
      </c>
      <c r="E9" s="1393"/>
      <c r="F9" s="979" t="s">
        <v>28</v>
      </c>
      <c r="G9" s="980" t="s">
        <v>79</v>
      </c>
      <c r="H9" s="981" t="s">
        <v>80</v>
      </c>
      <c r="I9" s="980">
        <v>2025</v>
      </c>
      <c r="J9" s="982" t="s">
        <v>82</v>
      </c>
      <c r="K9" s="983"/>
      <c r="L9" s="984">
        <v>80000000</v>
      </c>
      <c r="M9" s="984">
        <v>612980000</v>
      </c>
      <c r="N9" s="984">
        <v>114900000</v>
      </c>
      <c r="O9" s="984">
        <v>399896000</v>
      </c>
      <c r="P9" s="984"/>
      <c r="Q9" s="984"/>
      <c r="R9" s="984">
        <v>275424000</v>
      </c>
      <c r="S9" s="984">
        <v>33000000</v>
      </c>
      <c r="T9" s="985">
        <f t="shared" si="0"/>
        <v>1516200000</v>
      </c>
    </row>
    <row r="10" spans="1:20" ht="23.1" customHeight="1">
      <c r="A10" s="62"/>
      <c r="B10" s="62"/>
      <c r="C10" s="978">
        <v>17</v>
      </c>
      <c r="D10" s="1393" t="s">
        <v>27</v>
      </c>
      <c r="E10" s="1393"/>
      <c r="F10" s="979" t="s">
        <v>28</v>
      </c>
      <c r="G10" s="980" t="s">
        <v>79</v>
      </c>
      <c r="H10" s="981" t="s">
        <v>80</v>
      </c>
      <c r="I10" s="980">
        <v>2025</v>
      </c>
      <c r="J10" s="982" t="s">
        <v>83</v>
      </c>
      <c r="K10" s="983"/>
      <c r="L10" s="984">
        <v>0</v>
      </c>
      <c r="M10" s="984">
        <v>170597674</v>
      </c>
      <c r="N10" s="984">
        <v>34485603</v>
      </c>
      <c r="O10" s="984">
        <v>207346272</v>
      </c>
      <c r="P10" s="984"/>
      <c r="Q10" s="984"/>
      <c r="R10" s="984">
        <v>146500000</v>
      </c>
      <c r="S10" s="984">
        <v>8871905</v>
      </c>
      <c r="T10" s="985">
        <f t="shared" si="0"/>
        <v>567801454</v>
      </c>
    </row>
    <row r="11" spans="1:20" ht="23.1" customHeight="1">
      <c r="A11" s="62"/>
      <c r="B11" s="62"/>
      <c r="C11" s="978">
        <v>17</v>
      </c>
      <c r="D11" s="1393" t="s">
        <v>27</v>
      </c>
      <c r="E11" s="1393"/>
      <c r="F11" s="979" t="s">
        <v>28</v>
      </c>
      <c r="G11" s="980" t="s">
        <v>79</v>
      </c>
      <c r="H11" s="981" t="s">
        <v>80</v>
      </c>
      <c r="I11" s="980">
        <v>2025</v>
      </c>
      <c r="J11" s="982" t="s">
        <v>84</v>
      </c>
      <c r="K11" s="983"/>
      <c r="L11" s="983"/>
      <c r="M11" s="983"/>
      <c r="N11" s="983"/>
      <c r="O11" s="983"/>
      <c r="P11" s="983"/>
      <c r="Q11" s="983"/>
      <c r="R11" s="983"/>
      <c r="S11" s="983"/>
      <c r="T11" s="985">
        <f t="shared" si="0"/>
        <v>0</v>
      </c>
    </row>
    <row r="12" spans="1:20" ht="23.1" customHeight="1">
      <c r="A12" s="62"/>
      <c r="B12" s="62"/>
      <c r="C12" s="978">
        <v>17</v>
      </c>
      <c r="D12" s="1393" t="s">
        <v>27</v>
      </c>
      <c r="E12" s="1393"/>
      <c r="F12" s="979" t="s">
        <v>28</v>
      </c>
      <c r="G12" s="980" t="s">
        <v>85</v>
      </c>
      <c r="H12" s="981" t="s">
        <v>86</v>
      </c>
      <c r="I12" s="980">
        <v>2025</v>
      </c>
      <c r="J12" s="982" t="s">
        <v>81</v>
      </c>
      <c r="K12" s="983"/>
      <c r="L12" s="986"/>
      <c r="M12" s="983"/>
      <c r="N12" s="983"/>
      <c r="O12" s="983"/>
      <c r="P12" s="983"/>
      <c r="Q12" s="983"/>
      <c r="R12" s="983"/>
      <c r="S12" s="983"/>
      <c r="T12" s="985">
        <f t="shared" si="0"/>
        <v>0</v>
      </c>
    </row>
    <row r="13" spans="1:20" ht="23.1" customHeight="1">
      <c r="A13" s="62"/>
      <c r="B13" s="62"/>
      <c r="C13" s="978">
        <v>17</v>
      </c>
      <c r="D13" s="1393" t="s">
        <v>27</v>
      </c>
      <c r="E13" s="1393"/>
      <c r="F13" s="979" t="s">
        <v>28</v>
      </c>
      <c r="G13" s="980" t="s">
        <v>85</v>
      </c>
      <c r="H13" s="981" t="s">
        <v>86</v>
      </c>
      <c r="I13" s="980">
        <v>2025</v>
      </c>
      <c r="J13" s="982" t="s">
        <v>82</v>
      </c>
      <c r="K13" s="983"/>
      <c r="L13" s="983"/>
      <c r="M13" s="983"/>
      <c r="N13" s="983"/>
      <c r="O13" s="983"/>
      <c r="P13" s="983"/>
      <c r="Q13" s="983"/>
      <c r="R13" s="983"/>
      <c r="S13" s="983"/>
      <c r="T13" s="985">
        <f t="shared" si="0"/>
        <v>0</v>
      </c>
    </row>
    <row r="14" spans="1:20" ht="23.1" customHeight="1">
      <c r="A14" s="62"/>
      <c r="B14" s="62"/>
      <c r="C14" s="978">
        <v>17</v>
      </c>
      <c r="D14" s="1393" t="s">
        <v>27</v>
      </c>
      <c r="E14" s="1393"/>
      <c r="F14" s="979" t="s">
        <v>28</v>
      </c>
      <c r="G14" s="980" t="s">
        <v>85</v>
      </c>
      <c r="H14" s="981" t="s">
        <v>86</v>
      </c>
      <c r="I14" s="980">
        <v>2025</v>
      </c>
      <c r="J14" s="982" t="s">
        <v>83</v>
      </c>
      <c r="K14" s="983"/>
      <c r="L14" s="983"/>
      <c r="M14" s="983"/>
      <c r="N14" s="983"/>
      <c r="O14" s="983"/>
      <c r="P14" s="983"/>
      <c r="Q14" s="983"/>
      <c r="R14" s="983"/>
      <c r="S14" s="983"/>
      <c r="T14" s="985">
        <f t="shared" si="0"/>
        <v>0</v>
      </c>
    </row>
    <row r="15" spans="1:20" ht="23.1" customHeight="1">
      <c r="A15" s="62"/>
      <c r="B15" s="62"/>
      <c r="C15" s="978">
        <v>17</v>
      </c>
      <c r="D15" s="1393" t="s">
        <v>27</v>
      </c>
      <c r="E15" s="1393"/>
      <c r="F15" s="979" t="s">
        <v>28</v>
      </c>
      <c r="G15" s="980" t="s">
        <v>85</v>
      </c>
      <c r="H15" s="981" t="s">
        <v>86</v>
      </c>
      <c r="I15" s="980">
        <v>2025</v>
      </c>
      <c r="J15" s="982" t="s">
        <v>84</v>
      </c>
      <c r="K15" s="983"/>
      <c r="L15" s="983"/>
      <c r="M15" s="983"/>
      <c r="N15" s="983"/>
      <c r="O15" s="983"/>
      <c r="P15" s="983"/>
      <c r="Q15" s="983"/>
      <c r="R15" s="983"/>
      <c r="S15" s="983"/>
      <c r="T15" s="985">
        <f t="shared" si="0"/>
        <v>0</v>
      </c>
    </row>
    <row r="16" spans="1:20" ht="23.1" customHeight="1">
      <c r="A16" s="62"/>
      <c r="B16" s="62"/>
      <c r="C16" s="978">
        <v>17</v>
      </c>
      <c r="D16" s="1393" t="s">
        <v>27</v>
      </c>
      <c r="E16" s="1393"/>
      <c r="F16" s="979" t="s">
        <v>28</v>
      </c>
      <c r="G16" s="980"/>
      <c r="H16" s="981" t="s">
        <v>68</v>
      </c>
      <c r="I16" s="980">
        <v>2025</v>
      </c>
      <c r="J16" s="982" t="s">
        <v>81</v>
      </c>
      <c r="K16" s="983"/>
      <c r="L16" s="983">
        <f>L8</f>
        <v>80000000</v>
      </c>
      <c r="M16" s="983">
        <f>M8</f>
        <v>612980000</v>
      </c>
      <c r="N16" s="983">
        <f t="shared" ref="N16:S16" si="1">N8</f>
        <v>114900000</v>
      </c>
      <c r="O16" s="983">
        <f t="shared" si="1"/>
        <v>399896000</v>
      </c>
      <c r="P16" s="983">
        <f t="shared" si="1"/>
        <v>0</v>
      </c>
      <c r="Q16" s="983">
        <f t="shared" si="1"/>
        <v>0</v>
      </c>
      <c r="R16" s="983">
        <f t="shared" si="1"/>
        <v>275424000</v>
      </c>
      <c r="S16" s="983">
        <f t="shared" si="1"/>
        <v>33000000</v>
      </c>
      <c r="T16" s="985">
        <f t="shared" si="0"/>
        <v>1516200000</v>
      </c>
    </row>
    <row r="17" spans="1:20" ht="23.1" customHeight="1">
      <c r="A17" s="62"/>
      <c r="B17" s="62"/>
      <c r="C17" s="978">
        <v>17</v>
      </c>
      <c r="D17" s="1393" t="s">
        <v>27</v>
      </c>
      <c r="E17" s="1393"/>
      <c r="F17" s="979" t="s">
        <v>28</v>
      </c>
      <c r="G17" s="980"/>
      <c r="H17" s="981" t="s">
        <v>68</v>
      </c>
      <c r="I17" s="980">
        <v>2025</v>
      </c>
      <c r="J17" s="982" t="s">
        <v>82</v>
      </c>
      <c r="K17" s="983">
        <f t="shared" ref="K17:O19" si="2">K9+K13</f>
        <v>0</v>
      </c>
      <c r="L17" s="983">
        <f t="shared" si="2"/>
        <v>80000000</v>
      </c>
      <c r="M17" s="983">
        <f t="shared" ref="M17:S18" si="3">M9</f>
        <v>612980000</v>
      </c>
      <c r="N17" s="983">
        <f t="shared" si="3"/>
        <v>114900000</v>
      </c>
      <c r="O17" s="983">
        <f t="shared" si="3"/>
        <v>399896000</v>
      </c>
      <c r="P17" s="983">
        <f t="shared" si="3"/>
        <v>0</v>
      </c>
      <c r="Q17" s="983">
        <f t="shared" si="3"/>
        <v>0</v>
      </c>
      <c r="R17" s="983">
        <f t="shared" si="3"/>
        <v>275424000</v>
      </c>
      <c r="S17" s="983">
        <f t="shared" si="3"/>
        <v>33000000</v>
      </c>
      <c r="T17" s="985">
        <f t="shared" si="0"/>
        <v>1516200000</v>
      </c>
    </row>
    <row r="18" spans="1:20" ht="23.1" customHeight="1">
      <c r="A18" s="62"/>
      <c r="B18" s="62"/>
      <c r="C18" s="978">
        <v>17</v>
      </c>
      <c r="D18" s="1393" t="s">
        <v>27</v>
      </c>
      <c r="E18" s="1393"/>
      <c r="F18" s="979" t="s">
        <v>28</v>
      </c>
      <c r="G18" s="980"/>
      <c r="H18" s="981" t="s">
        <v>68</v>
      </c>
      <c r="I18" s="980">
        <v>2025</v>
      </c>
      <c r="J18" s="982" t="s">
        <v>83</v>
      </c>
      <c r="K18" s="983">
        <f t="shared" si="2"/>
        <v>0</v>
      </c>
      <c r="L18" s="983">
        <f>L10+L14</f>
        <v>0</v>
      </c>
      <c r="M18" s="983">
        <f>M10</f>
        <v>170597674</v>
      </c>
      <c r="N18" s="983">
        <f t="shared" si="3"/>
        <v>34485603</v>
      </c>
      <c r="O18" s="983">
        <f t="shared" si="3"/>
        <v>207346272</v>
      </c>
      <c r="P18" s="983">
        <f t="shared" si="3"/>
        <v>0</v>
      </c>
      <c r="Q18" s="983">
        <f t="shared" si="3"/>
        <v>0</v>
      </c>
      <c r="R18" s="983">
        <f t="shared" si="3"/>
        <v>146500000</v>
      </c>
      <c r="S18" s="983">
        <f t="shared" si="3"/>
        <v>8871905</v>
      </c>
      <c r="T18" s="985">
        <f>SUM(K18:S18)</f>
        <v>567801454</v>
      </c>
    </row>
    <row r="19" spans="1:20" ht="23.1" customHeight="1">
      <c r="A19" s="62"/>
      <c r="B19" s="62"/>
      <c r="C19" s="978">
        <v>17</v>
      </c>
      <c r="D19" s="1393" t="s">
        <v>27</v>
      </c>
      <c r="E19" s="1393"/>
      <c r="F19" s="979" t="s">
        <v>28</v>
      </c>
      <c r="G19" s="980"/>
      <c r="H19" s="981" t="s">
        <v>68</v>
      </c>
      <c r="I19" s="980">
        <v>2025</v>
      </c>
      <c r="J19" s="982" t="s">
        <v>84</v>
      </c>
      <c r="K19" s="983">
        <f t="shared" si="2"/>
        <v>0</v>
      </c>
      <c r="L19" s="983">
        <f t="shared" si="2"/>
        <v>0</v>
      </c>
      <c r="M19" s="983">
        <f t="shared" si="2"/>
        <v>0</v>
      </c>
      <c r="N19" s="983">
        <f t="shared" si="2"/>
        <v>0</v>
      </c>
      <c r="O19" s="983">
        <f t="shared" si="2"/>
        <v>0</v>
      </c>
      <c r="P19" s="983"/>
      <c r="Q19" s="983"/>
      <c r="R19" s="983">
        <f t="shared" ref="R19:S19" si="4">R11+R15</f>
        <v>0</v>
      </c>
      <c r="S19" s="983">
        <f t="shared" si="4"/>
        <v>0</v>
      </c>
      <c r="T19" s="985">
        <f t="shared" si="0"/>
        <v>0</v>
      </c>
    </row>
    <row r="20" spans="1:20" ht="15" customHeight="1">
      <c r="A20" s="62"/>
      <c r="B20" s="62"/>
      <c r="C20" s="978">
        <v>17</v>
      </c>
      <c r="D20" s="1393" t="s">
        <v>27</v>
      </c>
      <c r="E20" s="1393"/>
      <c r="F20" s="987" t="s">
        <v>89</v>
      </c>
      <c r="G20" s="988"/>
      <c r="H20" s="989"/>
      <c r="I20" s="988">
        <v>2025</v>
      </c>
      <c r="J20" s="987"/>
      <c r="K20" s="990">
        <f>K17-K16</f>
        <v>0</v>
      </c>
      <c r="L20" s="990">
        <f>L17-L16</f>
        <v>0</v>
      </c>
      <c r="M20" s="990">
        <f>M17-M16</f>
        <v>0</v>
      </c>
      <c r="N20" s="990">
        <f t="shared" ref="N20:T20" si="5">N17-N16</f>
        <v>0</v>
      </c>
      <c r="O20" s="990">
        <f t="shared" si="5"/>
        <v>0</v>
      </c>
      <c r="P20" s="990">
        <f t="shared" si="5"/>
        <v>0</v>
      </c>
      <c r="Q20" s="990">
        <f t="shared" si="5"/>
        <v>0</v>
      </c>
      <c r="R20" s="990">
        <f t="shared" si="5"/>
        <v>0</v>
      </c>
      <c r="S20" s="990">
        <f t="shared" si="5"/>
        <v>0</v>
      </c>
      <c r="T20" s="991">
        <f t="shared" si="5"/>
        <v>0</v>
      </c>
    </row>
    <row r="21" spans="1:20" ht="15" customHeight="1">
      <c r="A21" s="62"/>
      <c r="B21" s="62"/>
      <c r="C21" s="978">
        <v>17</v>
      </c>
      <c r="D21" s="1393" t="s">
        <v>27</v>
      </c>
      <c r="E21" s="1394"/>
      <c r="F21" s="992" t="s">
        <v>90</v>
      </c>
      <c r="G21" s="993"/>
      <c r="H21" s="994"/>
      <c r="I21" s="993">
        <v>2025</v>
      </c>
      <c r="J21" s="992"/>
      <c r="K21" s="995">
        <f>K18-K17</f>
        <v>0</v>
      </c>
      <c r="L21" s="995">
        <f>L18/L17*100</f>
        <v>0</v>
      </c>
      <c r="M21" s="995">
        <f>M18/M17*100</f>
        <v>27.830871154034387</v>
      </c>
      <c r="N21" s="995">
        <f t="shared" ref="N21:T21" si="6">N18/N17*100</f>
        <v>30.013579634464755</v>
      </c>
      <c r="O21" s="995">
        <f t="shared" si="6"/>
        <v>51.850049012743312</v>
      </c>
      <c r="P21" s="995" t="e">
        <f t="shared" si="6"/>
        <v>#DIV/0!</v>
      </c>
      <c r="Q21" s="995" t="e">
        <f t="shared" si="6"/>
        <v>#DIV/0!</v>
      </c>
      <c r="R21" s="995">
        <f t="shared" si="6"/>
        <v>53.19071685837109</v>
      </c>
      <c r="S21" s="995">
        <f t="shared" si="6"/>
        <v>26.884560606060603</v>
      </c>
      <c r="T21" s="995">
        <f t="shared" si="6"/>
        <v>37.44898126896188</v>
      </c>
    </row>
    <row r="22" spans="1:20" ht="24">
      <c r="C22" s="978" t="s">
        <v>179</v>
      </c>
      <c r="D22" s="1393" t="s">
        <v>27</v>
      </c>
      <c r="E22" s="1394"/>
      <c r="F22" s="992" t="s">
        <v>108</v>
      </c>
      <c r="G22" s="993" t="s">
        <v>91</v>
      </c>
      <c r="H22" s="994" t="s">
        <v>108</v>
      </c>
      <c r="I22" s="993">
        <v>2026</v>
      </c>
      <c r="J22" s="992" t="s">
        <v>474</v>
      </c>
      <c r="K22" s="995"/>
      <c r="L22" s="995">
        <v>115449898.44</v>
      </c>
      <c r="M22" s="995"/>
      <c r="N22" s="995"/>
      <c r="O22" s="996">
        <v>24636858.969999999</v>
      </c>
      <c r="P22" s="995"/>
      <c r="Q22" s="995"/>
      <c r="R22" s="995"/>
      <c r="S22" s="995"/>
      <c r="T22" s="985">
        <f>SUM(K22:S22)</f>
        <v>140086757.41</v>
      </c>
    </row>
    <row r="23" spans="1:20" ht="24.75" thickBot="1">
      <c r="C23" s="997" t="s">
        <v>179</v>
      </c>
      <c r="D23" s="1395" t="s">
        <v>27</v>
      </c>
      <c r="E23" s="1395"/>
      <c r="F23" s="998" t="s">
        <v>108</v>
      </c>
      <c r="G23" s="999" t="s">
        <v>91</v>
      </c>
      <c r="H23" s="1000" t="s">
        <v>108</v>
      </c>
      <c r="I23" s="999">
        <v>2026</v>
      </c>
      <c r="J23" s="998" t="s">
        <v>83</v>
      </c>
      <c r="K23" s="1001">
        <v>0</v>
      </c>
      <c r="L23" s="1001">
        <v>0</v>
      </c>
      <c r="M23" s="1001">
        <v>0</v>
      </c>
      <c r="N23" s="1001">
        <v>0</v>
      </c>
      <c r="O23" s="1001">
        <v>0</v>
      </c>
      <c r="P23" s="1001">
        <v>0</v>
      </c>
      <c r="Q23" s="1001">
        <v>0</v>
      </c>
      <c r="R23" s="1001">
        <v>0</v>
      </c>
      <c r="S23" s="1001">
        <v>0</v>
      </c>
      <c r="T23" s="1001">
        <v>0</v>
      </c>
    </row>
  </sheetData>
  <mergeCells count="27">
    <mergeCell ref="D19:E19"/>
    <mergeCell ref="D20:E20"/>
    <mergeCell ref="D21:E21"/>
    <mergeCell ref="C2:S2"/>
    <mergeCell ref="C3:T3"/>
    <mergeCell ref="F5:F7"/>
    <mergeCell ref="G5:G7"/>
    <mergeCell ref="H5:H7"/>
    <mergeCell ref="I5:I6"/>
    <mergeCell ref="J5:J7"/>
    <mergeCell ref="K5:T5"/>
    <mergeCell ref="D22:E22"/>
    <mergeCell ref="D23:E23"/>
    <mergeCell ref="A5:B6"/>
    <mergeCell ref="D12:E12"/>
    <mergeCell ref="D11:E11"/>
    <mergeCell ref="D8:E8"/>
    <mergeCell ref="D9:E9"/>
    <mergeCell ref="D10:E10"/>
    <mergeCell ref="C5:C7"/>
    <mergeCell ref="D5:E7"/>
    <mergeCell ref="D15:E15"/>
    <mergeCell ref="D16:E16"/>
    <mergeCell ref="D13:E13"/>
    <mergeCell ref="D14:E14"/>
    <mergeCell ref="D17:E17"/>
    <mergeCell ref="D18:E18"/>
  </mergeCells>
  <pageMargins left="0.19" right="0.17" top="0.17" bottom="0.17" header="0.17" footer="0.17"/>
  <pageSetup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59999389629810485"/>
  </sheetPr>
  <dimension ref="A1:T24"/>
  <sheetViews>
    <sheetView topLeftCell="B1" workbookViewId="0">
      <selection activeCell="C4" sqref="C4:T6"/>
    </sheetView>
  </sheetViews>
  <sheetFormatPr defaultRowHeight="15"/>
  <cols>
    <col min="1" max="1" width="3.28515625" hidden="1" customWidth="1"/>
    <col min="2" max="2" width="0.140625" customWidth="1"/>
    <col min="3" max="3" width="7.28515625" customWidth="1"/>
    <col min="4" max="4" width="7.7109375" customWidth="1"/>
    <col min="5" max="5" width="13.85546875" customWidth="1"/>
    <col min="6" max="6" width="15" customWidth="1"/>
    <col min="7" max="7" width="18.7109375" customWidth="1"/>
    <col min="8" max="8" width="9.5703125" customWidth="1"/>
    <col min="9" max="9" width="14.5703125" customWidth="1"/>
    <col min="10" max="10" width="8.85546875" customWidth="1"/>
    <col min="11" max="11" width="14.7109375" customWidth="1"/>
    <col min="12" max="12" width="11" customWidth="1"/>
    <col min="13" max="13" width="10" customWidth="1"/>
    <col min="14" max="14" width="11.5703125" customWidth="1"/>
    <col min="15" max="15" width="8.28515625" customWidth="1"/>
    <col min="16" max="16" width="7" customWidth="1"/>
    <col min="17" max="17" width="7.5703125" customWidth="1"/>
    <col min="18" max="18" width="2.85546875" customWidth="1"/>
    <col min="19" max="19" width="6.140625" customWidth="1"/>
    <col min="20" max="20" width="12.28515625" customWidth="1"/>
  </cols>
  <sheetData>
    <row r="1" spans="1:20" ht="20.100000000000001" customHeight="1">
      <c r="A1" s="2"/>
      <c r="B1" s="2"/>
      <c r="C1" s="74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>
      <c r="A2" s="2"/>
      <c r="B2" s="2"/>
      <c r="C2" s="1416" t="s">
        <v>135</v>
      </c>
      <c r="D2" s="1416"/>
      <c r="E2" s="1416"/>
      <c r="F2" s="1416"/>
      <c r="G2" s="1416"/>
      <c r="H2" s="1416"/>
      <c r="I2" s="1416"/>
      <c r="J2" s="1416"/>
      <c r="K2" s="1416"/>
      <c r="L2" s="1416"/>
      <c r="M2" s="1416"/>
      <c r="N2" s="1416"/>
      <c r="O2" s="1416"/>
      <c r="P2" s="1416"/>
      <c r="Q2" s="1416"/>
      <c r="R2" s="1416"/>
      <c r="S2" s="2"/>
      <c r="T2" s="2"/>
    </row>
    <row r="3" spans="1:20" ht="21" customHeight="1" thickBot="1">
      <c r="A3" s="2"/>
      <c r="B3" s="2"/>
      <c r="C3" s="1417" t="s">
        <v>497</v>
      </c>
      <c r="D3" s="1417"/>
      <c r="E3" s="1417"/>
      <c r="F3" s="1417"/>
      <c r="G3" s="1417"/>
      <c r="H3" s="1417"/>
      <c r="I3" s="1417"/>
      <c r="J3" s="1417"/>
      <c r="K3" s="1417"/>
      <c r="L3" s="1417"/>
      <c r="M3" s="1417"/>
      <c r="N3" s="1417"/>
      <c r="O3" s="1417"/>
      <c r="P3" s="1417"/>
      <c r="Q3" s="1417"/>
      <c r="R3" s="1417"/>
      <c r="S3" s="1417"/>
      <c r="T3" s="1417"/>
    </row>
    <row r="4" spans="1:20" ht="23.25" customHeight="1">
      <c r="A4" s="1435"/>
      <c r="B4" s="1436"/>
      <c r="C4" s="1437" t="s">
        <v>94</v>
      </c>
      <c r="D4" s="1427" t="s">
        <v>25</v>
      </c>
      <c r="E4" s="1420" t="s">
        <v>96</v>
      </c>
      <c r="F4" s="1420" t="s">
        <v>64</v>
      </c>
      <c r="G4" s="1423" t="s">
        <v>65</v>
      </c>
      <c r="H4" s="1420" t="s">
        <v>6</v>
      </c>
      <c r="I4" s="1427" t="s">
        <v>66</v>
      </c>
      <c r="J4" s="1430" t="s">
        <v>67</v>
      </c>
      <c r="K4" s="1431"/>
      <c r="L4" s="1431"/>
      <c r="M4" s="1431"/>
      <c r="N4" s="1431"/>
      <c r="O4" s="1431"/>
      <c r="P4" s="1431"/>
      <c r="Q4" s="1431"/>
      <c r="R4" s="1431"/>
      <c r="S4" s="1431"/>
      <c r="T4" s="1432"/>
    </row>
    <row r="5" spans="1:20" ht="23.25" customHeight="1">
      <c r="A5" s="1435"/>
      <c r="B5" s="1436"/>
      <c r="C5" s="1438"/>
      <c r="D5" s="1428"/>
      <c r="E5" s="1421"/>
      <c r="F5" s="1421"/>
      <c r="G5" s="1424"/>
      <c r="H5" s="1426"/>
      <c r="I5" s="1428"/>
      <c r="J5" s="1137" t="s">
        <v>49</v>
      </c>
      <c r="K5" s="1137" t="s">
        <v>51</v>
      </c>
      <c r="L5" s="1137" t="s">
        <v>34</v>
      </c>
      <c r="M5" s="1137" t="s">
        <v>36</v>
      </c>
      <c r="N5" s="1137" t="s">
        <v>38</v>
      </c>
      <c r="O5" s="1137" t="s">
        <v>40</v>
      </c>
      <c r="P5" s="1137" t="s">
        <v>42</v>
      </c>
      <c r="Q5" s="1137" t="s">
        <v>44</v>
      </c>
      <c r="R5" s="1433" t="s">
        <v>46</v>
      </c>
      <c r="S5" s="1434"/>
      <c r="T5" s="1138" t="s">
        <v>68</v>
      </c>
    </row>
    <row r="6" spans="1:20" ht="51" customHeight="1">
      <c r="A6" s="2"/>
      <c r="B6" s="2"/>
      <c r="C6" s="1439"/>
      <c r="D6" s="1429"/>
      <c r="E6" s="1422"/>
      <c r="F6" s="1422"/>
      <c r="G6" s="1425"/>
      <c r="H6" s="1139" t="s">
        <v>69</v>
      </c>
      <c r="I6" s="1429"/>
      <c r="J6" s="1140" t="s">
        <v>136</v>
      </c>
      <c r="K6" s="1140" t="s">
        <v>137</v>
      </c>
      <c r="L6" s="1140" t="s">
        <v>72</v>
      </c>
      <c r="M6" s="1140" t="s">
        <v>138</v>
      </c>
      <c r="N6" s="1140" t="s">
        <v>139</v>
      </c>
      <c r="O6" s="1140" t="s">
        <v>140</v>
      </c>
      <c r="P6" s="1141" t="s">
        <v>255</v>
      </c>
      <c r="Q6" s="1140" t="s">
        <v>142</v>
      </c>
      <c r="R6" s="1418" t="s">
        <v>78</v>
      </c>
      <c r="S6" s="1419"/>
      <c r="T6" s="1142" t="s">
        <v>68</v>
      </c>
    </row>
    <row r="7" spans="1:20" ht="21" customHeight="1">
      <c r="A7" s="2"/>
      <c r="B7" s="2"/>
      <c r="C7" s="48" t="s">
        <v>179</v>
      </c>
      <c r="D7" s="774" t="s">
        <v>147</v>
      </c>
      <c r="E7" s="18" t="s">
        <v>148</v>
      </c>
      <c r="F7" s="745" t="s">
        <v>79</v>
      </c>
      <c r="G7" s="759" t="s">
        <v>80</v>
      </c>
      <c r="H7" s="745">
        <v>2026</v>
      </c>
      <c r="I7" s="18" t="s">
        <v>81</v>
      </c>
      <c r="J7" s="747">
        <v>0</v>
      </c>
      <c r="K7" s="747">
        <v>10661500000</v>
      </c>
      <c r="L7" s="747">
        <v>4974568000</v>
      </c>
      <c r="M7" s="747">
        <v>892730000</v>
      </c>
      <c r="N7" s="747">
        <v>3823076000</v>
      </c>
      <c r="O7" s="747">
        <v>0</v>
      </c>
      <c r="P7" s="747">
        <v>0</v>
      </c>
      <c r="Q7" s="747">
        <v>0</v>
      </c>
      <c r="R7" s="1412">
        <v>40000000</v>
      </c>
      <c r="S7" s="1413"/>
      <c r="T7" s="49">
        <f>R7+Q7+P7+O7+N7+M7+L7+K7</f>
        <v>20391874000</v>
      </c>
    </row>
    <row r="8" spans="1:20" ht="21" customHeight="1">
      <c r="A8" s="2"/>
      <c r="B8" s="2"/>
      <c r="C8" s="48" t="s">
        <v>179</v>
      </c>
      <c r="D8" s="774" t="s">
        <v>147</v>
      </c>
      <c r="E8" s="18" t="s">
        <v>148</v>
      </c>
      <c r="F8" s="745" t="s">
        <v>79</v>
      </c>
      <c r="G8" s="759" t="s">
        <v>80</v>
      </c>
      <c r="H8" s="745">
        <v>2026</v>
      </c>
      <c r="I8" s="18" t="s">
        <v>82</v>
      </c>
      <c r="J8" s="747">
        <v>0</v>
      </c>
      <c r="K8" s="747">
        <v>10661500000</v>
      </c>
      <c r="L8" s="747">
        <v>4974568000</v>
      </c>
      <c r="M8" s="747">
        <v>892730000</v>
      </c>
      <c r="N8" s="747">
        <v>3823076000</v>
      </c>
      <c r="O8" s="747">
        <v>0</v>
      </c>
      <c r="P8" s="747">
        <v>0</v>
      </c>
      <c r="Q8" s="747">
        <v>0</v>
      </c>
      <c r="R8" s="1412">
        <v>40000000</v>
      </c>
      <c r="S8" s="1413"/>
      <c r="T8" s="49">
        <f t="shared" ref="T8:T18" si="0">R8+Q8+P8+O8+N8+M8+L8+K8</f>
        <v>20391874000</v>
      </c>
    </row>
    <row r="9" spans="1:20" ht="21" customHeight="1">
      <c r="A9" s="2"/>
      <c r="B9" s="2"/>
      <c r="C9" s="48" t="s">
        <v>179</v>
      </c>
      <c r="D9" s="774" t="s">
        <v>147</v>
      </c>
      <c r="E9" s="18" t="s">
        <v>148</v>
      </c>
      <c r="F9" s="745" t="s">
        <v>79</v>
      </c>
      <c r="G9" s="759" t="s">
        <v>80</v>
      </c>
      <c r="H9" s="745">
        <v>2026</v>
      </c>
      <c r="I9" s="18" t="s">
        <v>83</v>
      </c>
      <c r="J9" s="747">
        <v>0</v>
      </c>
      <c r="K9" s="747">
        <v>3794642711</v>
      </c>
      <c r="L9" s="747">
        <v>1756549523</v>
      </c>
      <c r="M9" s="747">
        <v>294310477</v>
      </c>
      <c r="N9" s="747">
        <v>1165695021</v>
      </c>
      <c r="O9" s="747">
        <v>0</v>
      </c>
      <c r="P9" s="747">
        <v>0</v>
      </c>
      <c r="Q9" s="747">
        <v>0</v>
      </c>
      <c r="R9" s="1412">
        <v>15106500</v>
      </c>
      <c r="S9" s="1413"/>
      <c r="T9" s="49">
        <f t="shared" si="0"/>
        <v>7026304232</v>
      </c>
    </row>
    <row r="10" spans="1:20" ht="21" customHeight="1">
      <c r="A10" s="2"/>
      <c r="B10" s="2"/>
      <c r="C10" s="48" t="s">
        <v>179</v>
      </c>
      <c r="D10" s="774" t="s">
        <v>147</v>
      </c>
      <c r="E10" s="18" t="s">
        <v>148</v>
      </c>
      <c r="F10" s="745" t="s">
        <v>79</v>
      </c>
      <c r="G10" s="759" t="s">
        <v>80</v>
      </c>
      <c r="H10" s="745">
        <v>2026</v>
      </c>
      <c r="I10" s="18" t="s">
        <v>84</v>
      </c>
      <c r="J10" s="747">
        <v>0</v>
      </c>
      <c r="K10" s="747">
        <v>0</v>
      </c>
      <c r="L10" s="747">
        <v>0</v>
      </c>
      <c r="M10" s="747">
        <v>0</v>
      </c>
      <c r="N10" s="747">
        <v>0</v>
      </c>
      <c r="O10" s="747">
        <v>0</v>
      </c>
      <c r="P10" s="747">
        <v>0</v>
      </c>
      <c r="Q10" s="747">
        <v>0</v>
      </c>
      <c r="R10" s="1412">
        <v>0</v>
      </c>
      <c r="S10" s="1413"/>
      <c r="T10" s="49">
        <f t="shared" si="0"/>
        <v>0</v>
      </c>
    </row>
    <row r="11" spans="1:20" ht="21" customHeight="1">
      <c r="A11" s="2"/>
      <c r="B11" s="2"/>
      <c r="C11" s="48" t="s">
        <v>179</v>
      </c>
      <c r="D11" s="774" t="s">
        <v>147</v>
      </c>
      <c r="E11" s="18" t="s">
        <v>148</v>
      </c>
      <c r="F11" s="745" t="s">
        <v>85</v>
      </c>
      <c r="G11" s="759" t="s">
        <v>86</v>
      </c>
      <c r="H11" s="745">
        <v>2026</v>
      </c>
      <c r="I11" s="18" t="s">
        <v>81</v>
      </c>
      <c r="J11" s="747">
        <v>0</v>
      </c>
      <c r="K11" s="747">
        <v>11000000000</v>
      </c>
      <c r="L11" s="747">
        <v>0</v>
      </c>
      <c r="M11" s="747">
        <v>0</v>
      </c>
      <c r="N11" s="747">
        <v>0</v>
      </c>
      <c r="O11" s="747">
        <v>0</v>
      </c>
      <c r="P11" s="747">
        <v>0</v>
      </c>
      <c r="Q11" s="747">
        <v>0</v>
      </c>
      <c r="R11" s="1412">
        <v>0</v>
      </c>
      <c r="S11" s="1413"/>
      <c r="T11" s="49">
        <f t="shared" si="0"/>
        <v>11000000000</v>
      </c>
    </row>
    <row r="12" spans="1:20" ht="21" customHeight="1">
      <c r="A12" s="2"/>
      <c r="B12" s="2"/>
      <c r="C12" s="48" t="s">
        <v>179</v>
      </c>
      <c r="D12" s="774" t="s">
        <v>147</v>
      </c>
      <c r="E12" s="18" t="s">
        <v>148</v>
      </c>
      <c r="F12" s="745" t="s">
        <v>85</v>
      </c>
      <c r="G12" s="759" t="s">
        <v>86</v>
      </c>
      <c r="H12" s="745">
        <v>2026</v>
      </c>
      <c r="I12" s="18" t="s">
        <v>82</v>
      </c>
      <c r="J12" s="747">
        <v>0</v>
      </c>
      <c r="K12" s="747">
        <v>11000000000</v>
      </c>
      <c r="L12" s="747">
        <v>0</v>
      </c>
      <c r="M12" s="747">
        <v>0</v>
      </c>
      <c r="N12" s="747">
        <v>0</v>
      </c>
      <c r="O12" s="747">
        <v>0</v>
      </c>
      <c r="P12" s="747">
        <v>0</v>
      </c>
      <c r="Q12" s="747">
        <v>0</v>
      </c>
      <c r="R12" s="1412">
        <v>0</v>
      </c>
      <c r="S12" s="1413"/>
      <c r="T12" s="49">
        <f t="shared" si="0"/>
        <v>11000000000</v>
      </c>
    </row>
    <row r="13" spans="1:20" ht="21" customHeight="1">
      <c r="A13" s="2"/>
      <c r="B13" s="2"/>
      <c r="C13" s="48" t="s">
        <v>179</v>
      </c>
      <c r="D13" s="774" t="s">
        <v>147</v>
      </c>
      <c r="E13" s="18" t="s">
        <v>148</v>
      </c>
      <c r="F13" s="745" t="s">
        <v>85</v>
      </c>
      <c r="G13" s="759" t="s">
        <v>86</v>
      </c>
      <c r="H13" s="745">
        <v>2026</v>
      </c>
      <c r="I13" s="18" t="s">
        <v>83</v>
      </c>
      <c r="J13" s="747">
        <v>0</v>
      </c>
      <c r="K13" s="747">
        <v>0</v>
      </c>
      <c r="L13" s="747">
        <v>0</v>
      </c>
      <c r="M13" s="747">
        <v>0</v>
      </c>
      <c r="N13" s="747">
        <v>0</v>
      </c>
      <c r="O13" s="747">
        <v>0</v>
      </c>
      <c r="P13" s="747">
        <v>0</v>
      </c>
      <c r="Q13" s="747">
        <v>0</v>
      </c>
      <c r="R13" s="1412">
        <v>0</v>
      </c>
      <c r="S13" s="1413"/>
      <c r="T13" s="49">
        <f t="shared" si="0"/>
        <v>0</v>
      </c>
    </row>
    <row r="14" spans="1:20" ht="21" customHeight="1">
      <c r="A14" s="2"/>
      <c r="B14" s="2"/>
      <c r="C14" s="48" t="s">
        <v>179</v>
      </c>
      <c r="D14" s="774" t="s">
        <v>147</v>
      </c>
      <c r="E14" s="18" t="s">
        <v>148</v>
      </c>
      <c r="F14" s="745" t="s">
        <v>85</v>
      </c>
      <c r="G14" s="759" t="s">
        <v>86</v>
      </c>
      <c r="H14" s="745">
        <v>2026</v>
      </c>
      <c r="I14" s="18" t="s">
        <v>84</v>
      </c>
      <c r="J14" s="747">
        <v>0</v>
      </c>
      <c r="K14" s="747">
        <v>0</v>
      </c>
      <c r="L14" s="747">
        <v>0</v>
      </c>
      <c r="M14" s="747">
        <v>0</v>
      </c>
      <c r="N14" s="747">
        <v>0</v>
      </c>
      <c r="O14" s="747">
        <v>0</v>
      </c>
      <c r="P14" s="747">
        <v>0</v>
      </c>
      <c r="Q14" s="747">
        <v>0</v>
      </c>
      <c r="R14" s="1412">
        <v>0</v>
      </c>
      <c r="S14" s="1413"/>
      <c r="T14" s="49">
        <f t="shared" si="0"/>
        <v>0</v>
      </c>
    </row>
    <row r="15" spans="1:20" ht="21" customHeight="1">
      <c r="A15" s="2"/>
      <c r="B15" s="2"/>
      <c r="C15" s="48" t="s">
        <v>179</v>
      </c>
      <c r="D15" s="774" t="s">
        <v>147</v>
      </c>
      <c r="E15" s="18" t="s">
        <v>148</v>
      </c>
      <c r="F15" s="745"/>
      <c r="G15" s="759" t="s">
        <v>68</v>
      </c>
      <c r="H15" s="745">
        <v>2026</v>
      </c>
      <c r="I15" s="18" t="s">
        <v>81</v>
      </c>
      <c r="J15" s="747">
        <v>0</v>
      </c>
      <c r="K15" s="747">
        <f>K7+K11</f>
        <v>21661500000</v>
      </c>
      <c r="L15" s="747">
        <f t="shared" ref="K15:S18" si="1">L7+L11</f>
        <v>4974568000</v>
      </c>
      <c r="M15" s="747">
        <f t="shared" si="1"/>
        <v>892730000</v>
      </c>
      <c r="N15" s="747">
        <f t="shared" si="1"/>
        <v>3823076000</v>
      </c>
      <c r="O15" s="747">
        <f t="shared" si="1"/>
        <v>0</v>
      </c>
      <c r="P15" s="747">
        <f t="shared" si="1"/>
        <v>0</v>
      </c>
      <c r="Q15" s="747">
        <f t="shared" si="1"/>
        <v>0</v>
      </c>
      <c r="R15" s="1410">
        <f t="shared" si="1"/>
        <v>40000000</v>
      </c>
      <c r="S15" s="1411">
        <f t="shared" si="1"/>
        <v>0</v>
      </c>
      <c r="T15" s="49">
        <f t="shared" si="0"/>
        <v>31391874000</v>
      </c>
    </row>
    <row r="16" spans="1:20" ht="21" customHeight="1">
      <c r="A16" s="2"/>
      <c r="B16" s="2"/>
      <c r="C16" s="48" t="s">
        <v>179</v>
      </c>
      <c r="D16" s="774" t="s">
        <v>147</v>
      </c>
      <c r="E16" s="18" t="s">
        <v>148</v>
      </c>
      <c r="F16" s="745"/>
      <c r="G16" s="759" t="s">
        <v>68</v>
      </c>
      <c r="H16" s="745">
        <v>2026</v>
      </c>
      <c r="I16" s="18" t="s">
        <v>82</v>
      </c>
      <c r="J16" s="747">
        <v>0</v>
      </c>
      <c r="K16" s="747">
        <f>K8+K12</f>
        <v>21661500000</v>
      </c>
      <c r="L16" s="747">
        <f t="shared" si="1"/>
        <v>4974568000</v>
      </c>
      <c r="M16" s="747">
        <f t="shared" si="1"/>
        <v>892730000</v>
      </c>
      <c r="N16" s="747">
        <f t="shared" si="1"/>
        <v>3823076000</v>
      </c>
      <c r="O16" s="747">
        <f t="shared" si="1"/>
        <v>0</v>
      </c>
      <c r="P16" s="747">
        <f t="shared" si="1"/>
        <v>0</v>
      </c>
      <c r="Q16" s="747">
        <f t="shared" si="1"/>
        <v>0</v>
      </c>
      <c r="R16" s="1410">
        <f t="shared" si="1"/>
        <v>40000000</v>
      </c>
      <c r="S16" s="1411"/>
      <c r="T16" s="49">
        <f t="shared" si="0"/>
        <v>31391874000</v>
      </c>
    </row>
    <row r="17" spans="1:20" ht="21" customHeight="1">
      <c r="A17" s="2"/>
      <c r="B17" s="2"/>
      <c r="C17" s="48" t="s">
        <v>179</v>
      </c>
      <c r="D17" s="774" t="s">
        <v>147</v>
      </c>
      <c r="E17" s="18" t="s">
        <v>148</v>
      </c>
      <c r="F17" s="745"/>
      <c r="G17" s="759" t="s">
        <v>68</v>
      </c>
      <c r="H17" s="745">
        <v>2026</v>
      </c>
      <c r="I17" s="18" t="s">
        <v>83</v>
      </c>
      <c r="J17" s="747">
        <v>0</v>
      </c>
      <c r="K17" s="747">
        <f>K9+K13</f>
        <v>3794642711</v>
      </c>
      <c r="L17" s="747">
        <f t="shared" si="1"/>
        <v>1756549523</v>
      </c>
      <c r="M17" s="747">
        <f t="shared" si="1"/>
        <v>294310477</v>
      </c>
      <c r="N17" s="747">
        <f t="shared" si="1"/>
        <v>1165695021</v>
      </c>
      <c r="O17" s="747">
        <f t="shared" si="1"/>
        <v>0</v>
      </c>
      <c r="P17" s="747">
        <f t="shared" si="1"/>
        <v>0</v>
      </c>
      <c r="Q17" s="747">
        <f t="shared" si="1"/>
        <v>0</v>
      </c>
      <c r="R17" s="1410">
        <f t="shared" si="1"/>
        <v>15106500</v>
      </c>
      <c r="S17" s="1411"/>
      <c r="T17" s="49">
        <f t="shared" si="0"/>
        <v>7026304232</v>
      </c>
    </row>
    <row r="18" spans="1:20" ht="21" customHeight="1">
      <c r="A18" s="2"/>
      <c r="B18" s="2"/>
      <c r="C18" s="48" t="s">
        <v>179</v>
      </c>
      <c r="D18" s="774" t="s">
        <v>147</v>
      </c>
      <c r="E18" s="18" t="s">
        <v>148</v>
      </c>
      <c r="F18" s="745"/>
      <c r="G18" s="759" t="s">
        <v>68</v>
      </c>
      <c r="H18" s="745">
        <v>2026</v>
      </c>
      <c r="I18" s="18" t="s">
        <v>84</v>
      </c>
      <c r="J18" s="747">
        <v>0</v>
      </c>
      <c r="K18" s="747">
        <f t="shared" si="1"/>
        <v>0</v>
      </c>
      <c r="L18" s="747">
        <f t="shared" si="1"/>
        <v>0</v>
      </c>
      <c r="M18" s="747">
        <f t="shared" si="1"/>
        <v>0</v>
      </c>
      <c r="N18" s="747">
        <f t="shared" si="1"/>
        <v>0</v>
      </c>
      <c r="O18" s="747">
        <f>O10+O14</f>
        <v>0</v>
      </c>
      <c r="P18" s="747">
        <f>P10+P14</f>
        <v>0</v>
      </c>
      <c r="Q18" s="747">
        <f>Q10+Q14</f>
        <v>0</v>
      </c>
      <c r="R18" s="1412">
        <f t="shared" si="1"/>
        <v>0</v>
      </c>
      <c r="S18" s="1413">
        <f t="shared" si="1"/>
        <v>0</v>
      </c>
      <c r="T18" s="49">
        <f t="shared" si="0"/>
        <v>0</v>
      </c>
    </row>
    <row r="19" spans="1:20" ht="25.5" customHeight="1">
      <c r="A19" s="2"/>
      <c r="B19" s="2"/>
      <c r="C19" s="50" t="s">
        <v>179</v>
      </c>
      <c r="D19" s="774" t="s">
        <v>147</v>
      </c>
      <c r="E19" s="51" t="s">
        <v>89</v>
      </c>
      <c r="F19" s="749"/>
      <c r="G19" s="51"/>
      <c r="H19" s="745">
        <v>2026</v>
      </c>
      <c r="I19" s="52"/>
      <c r="J19" s="750">
        <v>0</v>
      </c>
      <c r="K19" s="750">
        <f>K16-K15</f>
        <v>0</v>
      </c>
      <c r="L19" s="750">
        <f>L16-L15</f>
        <v>0</v>
      </c>
      <c r="M19" s="750">
        <f>M16-M15</f>
        <v>0</v>
      </c>
      <c r="N19" s="750">
        <f>N16-N15</f>
        <v>0</v>
      </c>
      <c r="O19" s="750">
        <v>0</v>
      </c>
      <c r="P19" s="750">
        <v>0</v>
      </c>
      <c r="Q19" s="750">
        <v>0</v>
      </c>
      <c r="R19" s="1408">
        <f>R16-R15</f>
        <v>0</v>
      </c>
      <c r="S19" s="1409">
        <f t="shared" ref="S19:S22" si="2">S16-S17</f>
        <v>0</v>
      </c>
      <c r="T19" s="53">
        <f>T16-T15</f>
        <v>0</v>
      </c>
    </row>
    <row r="20" spans="1:20" ht="16.5" customHeight="1" thickBot="1">
      <c r="A20" s="2"/>
      <c r="B20" s="2"/>
      <c r="C20" s="54" t="s">
        <v>179</v>
      </c>
      <c r="D20" s="774" t="s">
        <v>147</v>
      </c>
      <c r="E20" s="55" t="s">
        <v>90</v>
      </c>
      <c r="F20" s="748"/>
      <c r="G20" s="56"/>
      <c r="H20" s="745">
        <v>2026</v>
      </c>
      <c r="I20" s="55"/>
      <c r="J20" s="751">
        <v>0</v>
      </c>
      <c r="K20" s="751">
        <f>K17*100/K16</f>
        <v>17.51791293770053</v>
      </c>
      <c r="L20" s="751">
        <f>L17*100/L16</f>
        <v>35.310594266678031</v>
      </c>
      <c r="M20" s="751">
        <f>M17*100/M16</f>
        <v>32.967467991441978</v>
      </c>
      <c r="N20" s="751">
        <f>N17*100/N16</f>
        <v>30.49102400789312</v>
      </c>
      <c r="O20" s="751">
        <v>0</v>
      </c>
      <c r="P20" s="751">
        <v>0</v>
      </c>
      <c r="Q20" s="751">
        <v>0</v>
      </c>
      <c r="R20" s="1414">
        <f>R17*100/R16</f>
        <v>37.766249999999999</v>
      </c>
      <c r="S20" s="1415"/>
      <c r="T20" s="744">
        <f>T17*100/T16</f>
        <v>22.382557447828695</v>
      </c>
    </row>
    <row r="21" spans="1:20" ht="16.5" customHeight="1">
      <c r="A21" s="2"/>
      <c r="B21" s="2"/>
      <c r="C21" s="17" t="s">
        <v>179</v>
      </c>
      <c r="D21" s="774" t="s">
        <v>147</v>
      </c>
      <c r="E21" s="18" t="s">
        <v>148</v>
      </c>
      <c r="F21" s="775" t="s">
        <v>91</v>
      </c>
      <c r="G21" s="18" t="s">
        <v>108</v>
      </c>
      <c r="H21" s="745">
        <v>2026</v>
      </c>
      <c r="I21" s="18" t="s">
        <v>474</v>
      </c>
      <c r="J21" s="779"/>
      <c r="K21" s="780">
        <v>2210649.1</v>
      </c>
      <c r="L21" s="747"/>
      <c r="M21" s="747">
        <v>0</v>
      </c>
      <c r="N21" s="781">
        <v>932772</v>
      </c>
      <c r="O21" s="747">
        <v>0</v>
      </c>
      <c r="P21" s="747">
        <v>0</v>
      </c>
      <c r="Q21" s="747">
        <v>0</v>
      </c>
      <c r="R21" s="1406"/>
      <c r="S21" s="1407"/>
      <c r="T21" s="409">
        <f>SUM(K21:S21)</f>
        <v>3143421.1</v>
      </c>
    </row>
    <row r="22" spans="1:20" ht="16.5" customHeight="1">
      <c r="A22" s="2"/>
      <c r="B22" s="2"/>
      <c r="C22" s="17" t="s">
        <v>179</v>
      </c>
      <c r="D22" s="774" t="s">
        <v>147</v>
      </c>
      <c r="E22" s="18" t="s">
        <v>148</v>
      </c>
      <c r="F22" s="775" t="s">
        <v>91</v>
      </c>
      <c r="G22" s="18" t="s">
        <v>108</v>
      </c>
      <c r="H22" s="745">
        <v>2026</v>
      </c>
      <c r="I22" s="18" t="s">
        <v>83</v>
      </c>
      <c r="J22" s="747">
        <v>0</v>
      </c>
      <c r="K22" s="747">
        <v>0</v>
      </c>
      <c r="L22" s="747"/>
      <c r="M22" s="747">
        <v>0</v>
      </c>
      <c r="N22" s="747">
        <v>0</v>
      </c>
      <c r="O22" s="747">
        <v>0</v>
      </c>
      <c r="P22" s="747">
        <v>0</v>
      </c>
      <c r="Q22" s="747">
        <v>0</v>
      </c>
      <c r="R22" s="1408">
        <f t="shared" ref="R22" si="3">R19-R18</f>
        <v>0</v>
      </c>
      <c r="S22" s="1409">
        <f t="shared" si="2"/>
        <v>0</v>
      </c>
      <c r="T22" s="53">
        <f>K22+L22+M22+N22+O22+P22</f>
        <v>0</v>
      </c>
    </row>
    <row r="23" spans="1:20" ht="16.5" customHeight="1">
      <c r="A23" s="2"/>
      <c r="B23" s="2"/>
      <c r="C23" s="684"/>
      <c r="D23" s="684"/>
      <c r="E23" s="686"/>
      <c r="F23" s="684"/>
      <c r="G23" s="685"/>
      <c r="H23" s="684"/>
      <c r="I23" s="686"/>
      <c r="J23" s="688"/>
      <c r="K23" s="688"/>
      <c r="L23" s="688"/>
      <c r="M23" s="688"/>
      <c r="N23" s="688"/>
      <c r="O23" s="688"/>
      <c r="P23" s="688"/>
      <c r="Q23" s="688"/>
      <c r="R23" s="688"/>
      <c r="S23" s="688"/>
      <c r="T23" s="688"/>
    </row>
    <row r="24" spans="1:20" ht="24.95" customHeight="1">
      <c r="A24" s="2"/>
      <c r="B24" s="2"/>
      <c r="C24" s="1405"/>
      <c r="D24" s="140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</sheetData>
  <mergeCells count="30">
    <mergeCell ref="R14:S14"/>
    <mergeCell ref="R15:S15"/>
    <mergeCell ref="A4:B5"/>
    <mergeCell ref="C4:C6"/>
    <mergeCell ref="D4:D6"/>
    <mergeCell ref="E4:E6"/>
    <mergeCell ref="R7:S7"/>
    <mergeCell ref="R8:S8"/>
    <mergeCell ref="R9:S9"/>
    <mergeCell ref="R10:S10"/>
    <mergeCell ref="R11:S11"/>
    <mergeCell ref="R12:S12"/>
    <mergeCell ref="R13:S13"/>
    <mergeCell ref="C2:R2"/>
    <mergeCell ref="C3:T3"/>
    <mergeCell ref="R6:S6"/>
    <mergeCell ref="F4:F6"/>
    <mergeCell ref="G4:G6"/>
    <mergeCell ref="H4:H5"/>
    <mergeCell ref="I4:I6"/>
    <mergeCell ref="J4:T4"/>
    <mergeCell ref="R5:S5"/>
    <mergeCell ref="C24:D24"/>
    <mergeCell ref="R21:S21"/>
    <mergeCell ref="R22:S22"/>
    <mergeCell ref="R16:S16"/>
    <mergeCell ref="R17:S17"/>
    <mergeCell ref="R18:S18"/>
    <mergeCell ref="R19:S19"/>
    <mergeCell ref="R20:S2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59999389629810485"/>
  </sheetPr>
  <dimension ref="A1:T21"/>
  <sheetViews>
    <sheetView workbookViewId="0">
      <selection activeCell="B4" sqref="B4:T6"/>
    </sheetView>
  </sheetViews>
  <sheetFormatPr defaultRowHeight="15"/>
  <cols>
    <col min="1" max="1" width="0.140625" customWidth="1"/>
    <col min="2" max="2" width="3.5703125" customWidth="1"/>
    <col min="3" max="3" width="1.28515625" customWidth="1"/>
    <col min="4" max="4" width="6" customWidth="1"/>
    <col min="5" max="5" width="22.85546875" customWidth="1"/>
    <col min="6" max="6" width="5" customWidth="1"/>
    <col min="7" max="7" width="9.85546875" style="777" customWidth="1"/>
    <col min="8" max="8" width="12" customWidth="1"/>
    <col min="9" max="9" width="10" customWidth="1"/>
    <col min="10" max="10" width="10.85546875" customWidth="1"/>
    <col min="11" max="11" width="11.42578125" customWidth="1"/>
    <col min="12" max="12" width="12.7109375" customWidth="1"/>
    <col min="13" max="13" width="11.42578125" customWidth="1"/>
    <col min="14" max="14" width="13.5703125" customWidth="1"/>
    <col min="15" max="15" width="6.5703125" customWidth="1"/>
    <col min="16" max="16" width="7.42578125" customWidth="1"/>
    <col min="17" max="17" width="7.140625" customWidth="1"/>
    <col min="18" max="18" width="2.85546875" customWidth="1"/>
    <col min="19" max="19" width="10.28515625" customWidth="1"/>
    <col min="20" max="20" width="13.85546875" customWidth="1"/>
  </cols>
  <sheetData>
    <row r="1" spans="1:20">
      <c r="A1" s="2"/>
      <c r="B1" s="692"/>
      <c r="C1" s="2"/>
      <c r="D1" s="2"/>
      <c r="E1" s="2"/>
      <c r="F1" s="2"/>
      <c r="G1" s="776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>
      <c r="A2" s="2"/>
      <c r="B2" s="1416" t="s">
        <v>135</v>
      </c>
      <c r="C2" s="1416"/>
      <c r="D2" s="1416"/>
      <c r="E2" s="1416"/>
      <c r="F2" s="1416"/>
      <c r="G2" s="1416"/>
      <c r="H2" s="1416"/>
      <c r="I2" s="1416"/>
      <c r="J2" s="1416"/>
      <c r="K2" s="1416"/>
      <c r="L2" s="1416"/>
      <c r="M2" s="1416"/>
      <c r="N2" s="1416"/>
      <c r="O2" s="1416"/>
      <c r="P2" s="1416"/>
      <c r="Q2" s="1416"/>
      <c r="R2" s="1416"/>
      <c r="S2" s="2"/>
      <c r="T2" s="2"/>
    </row>
    <row r="3" spans="1:20" ht="21" customHeight="1" thickBot="1">
      <c r="A3" s="2"/>
      <c r="B3" s="1447" t="s">
        <v>540</v>
      </c>
      <c r="C3" s="1447"/>
      <c r="D3" s="1447"/>
      <c r="E3" s="1447"/>
      <c r="F3" s="1447"/>
      <c r="G3" s="1447"/>
      <c r="H3" s="1447"/>
      <c r="I3" s="1447"/>
      <c r="J3" s="1447"/>
      <c r="K3" s="1447"/>
      <c r="L3" s="1447"/>
      <c r="M3" s="1447"/>
      <c r="N3" s="1447"/>
      <c r="O3" s="1447"/>
      <c r="P3" s="1447"/>
      <c r="Q3" s="1447"/>
      <c r="R3" s="1447"/>
      <c r="S3" s="1447"/>
      <c r="T3" s="1447"/>
    </row>
    <row r="4" spans="1:20" ht="21" customHeight="1" thickTop="1" thickBot="1">
      <c r="A4" s="1435"/>
      <c r="B4" s="1445" t="s">
        <v>63</v>
      </c>
      <c r="C4" s="1446" t="s">
        <v>25</v>
      </c>
      <c r="D4" s="1446"/>
      <c r="E4" s="1446" t="s">
        <v>96</v>
      </c>
      <c r="F4" s="1446" t="s">
        <v>64</v>
      </c>
      <c r="G4" s="1449" t="s">
        <v>65</v>
      </c>
      <c r="H4" s="1450" t="s">
        <v>6</v>
      </c>
      <c r="I4" s="1450" t="s">
        <v>66</v>
      </c>
      <c r="J4" s="1451" t="s">
        <v>67</v>
      </c>
      <c r="K4" s="1451"/>
      <c r="L4" s="1451"/>
      <c r="M4" s="1451"/>
      <c r="N4" s="1451"/>
      <c r="O4" s="1451"/>
      <c r="P4" s="1451"/>
      <c r="Q4" s="1451"/>
      <c r="R4" s="1451"/>
      <c r="S4" s="1451"/>
      <c r="T4" s="1451"/>
    </row>
    <row r="5" spans="1:20" ht="15" customHeight="1" thickTop="1" thickBot="1">
      <c r="A5" s="1435"/>
      <c r="B5" s="1445"/>
      <c r="C5" s="1446"/>
      <c r="D5" s="1446"/>
      <c r="E5" s="1446"/>
      <c r="F5" s="1446"/>
      <c r="G5" s="1449"/>
      <c r="H5" s="1450"/>
      <c r="I5" s="1450"/>
      <c r="J5" s="1143" t="s">
        <v>49</v>
      </c>
      <c r="K5" s="1143" t="s">
        <v>51</v>
      </c>
      <c r="L5" s="1143" t="s">
        <v>34</v>
      </c>
      <c r="M5" s="1143" t="s">
        <v>36</v>
      </c>
      <c r="N5" s="1143" t="s">
        <v>38</v>
      </c>
      <c r="O5" s="1143" t="s">
        <v>40</v>
      </c>
      <c r="P5" s="1143" t="s">
        <v>42</v>
      </c>
      <c r="Q5" s="1143" t="s">
        <v>44</v>
      </c>
      <c r="R5" s="1452" t="s">
        <v>46</v>
      </c>
      <c r="S5" s="1452"/>
      <c r="T5" s="1144" t="s">
        <v>68</v>
      </c>
    </row>
    <row r="6" spans="1:20" ht="24" customHeight="1" thickTop="1">
      <c r="A6" s="2"/>
      <c r="B6" s="1445"/>
      <c r="C6" s="1446"/>
      <c r="D6" s="1446"/>
      <c r="E6" s="1446"/>
      <c r="F6" s="1446"/>
      <c r="G6" s="1449"/>
      <c r="H6" s="1145" t="s">
        <v>69</v>
      </c>
      <c r="I6" s="1450"/>
      <c r="J6" s="1146" t="s">
        <v>136</v>
      </c>
      <c r="K6" s="1146" t="s">
        <v>137</v>
      </c>
      <c r="L6" s="1146" t="s">
        <v>72</v>
      </c>
      <c r="M6" s="1146" t="s">
        <v>138</v>
      </c>
      <c r="N6" s="1146" t="s">
        <v>139</v>
      </c>
      <c r="O6" s="1146" t="s">
        <v>140</v>
      </c>
      <c r="P6" s="1146" t="s">
        <v>141</v>
      </c>
      <c r="Q6" s="1146" t="s">
        <v>142</v>
      </c>
      <c r="R6" s="1448" t="s">
        <v>78</v>
      </c>
      <c r="S6" s="1448"/>
      <c r="T6" s="1147" t="s">
        <v>68</v>
      </c>
    </row>
    <row r="7" spans="1:20" ht="51" customHeight="1">
      <c r="A7" s="2"/>
      <c r="B7" s="17" t="s">
        <v>179</v>
      </c>
      <c r="C7" s="1441" t="s">
        <v>149</v>
      </c>
      <c r="D7" s="1441"/>
      <c r="E7" s="18" t="s">
        <v>150</v>
      </c>
      <c r="F7" s="693" t="s">
        <v>79</v>
      </c>
      <c r="G7" s="18" t="s">
        <v>80</v>
      </c>
      <c r="H7" s="1002">
        <v>2026</v>
      </c>
      <c r="I7" s="1009" t="s">
        <v>81</v>
      </c>
      <c r="J7" s="1004"/>
      <c r="K7" s="1004">
        <f>'[1]2'!E25</f>
        <v>2265500000</v>
      </c>
      <c r="L7" s="1004">
        <f>'[1]2'!E16</f>
        <v>3941500000</v>
      </c>
      <c r="M7" s="1004">
        <f>'[1]2'!E17</f>
        <v>641300000</v>
      </c>
      <c r="N7" s="1004">
        <f>'[1]2'!E18</f>
        <v>3944551000</v>
      </c>
      <c r="O7" s="1004"/>
      <c r="P7" s="1004"/>
      <c r="Q7" s="1004"/>
      <c r="R7" s="1440">
        <f>'[1]2'!E22</f>
        <v>363685000</v>
      </c>
      <c r="S7" s="1440"/>
      <c r="T7" s="1005">
        <f>J7+K7+L7+M7+N7+R7</f>
        <v>11156536000</v>
      </c>
    </row>
    <row r="8" spans="1:20" ht="22.5" customHeight="1">
      <c r="A8" s="2"/>
      <c r="B8" s="17" t="s">
        <v>179</v>
      </c>
      <c r="C8" s="1441" t="s">
        <v>149</v>
      </c>
      <c r="D8" s="1441"/>
      <c r="E8" s="18" t="s">
        <v>150</v>
      </c>
      <c r="F8" s="693" t="s">
        <v>79</v>
      </c>
      <c r="G8" s="18" t="s">
        <v>80</v>
      </c>
      <c r="H8" s="1002">
        <v>2026</v>
      </c>
      <c r="I8" s="1009" t="s">
        <v>82</v>
      </c>
      <c r="J8" s="1004"/>
      <c r="K8" s="1004">
        <v>2265500000</v>
      </c>
      <c r="L8" s="1004">
        <v>3941500000</v>
      </c>
      <c r="M8" s="1004">
        <v>641300000</v>
      </c>
      <c r="N8" s="1004">
        <v>3944551000</v>
      </c>
      <c r="O8" s="1004"/>
      <c r="P8" s="1004"/>
      <c r="Q8" s="1004"/>
      <c r="R8" s="1440">
        <v>363685000</v>
      </c>
      <c r="S8" s="1440"/>
      <c r="T8" s="1006">
        <f t="shared" ref="T8:T13" si="0">J8+K8+L8+M8+N8+R8</f>
        <v>11156536000</v>
      </c>
    </row>
    <row r="9" spans="1:20" ht="22.5" customHeight="1">
      <c r="A9" s="2"/>
      <c r="B9" s="17" t="s">
        <v>179</v>
      </c>
      <c r="C9" s="1441" t="s">
        <v>149</v>
      </c>
      <c r="D9" s="1441"/>
      <c r="E9" s="18" t="s">
        <v>150</v>
      </c>
      <c r="F9" s="693" t="s">
        <v>79</v>
      </c>
      <c r="G9" s="18" t="s">
        <v>80</v>
      </c>
      <c r="H9" s="1002">
        <v>2026</v>
      </c>
      <c r="I9" s="1003" t="s">
        <v>83</v>
      </c>
      <c r="J9" s="1004"/>
      <c r="K9" s="1004">
        <f>'[1]2'!J25</f>
        <v>37980094</v>
      </c>
      <c r="L9" s="1004">
        <f>'[1]2'!J16</f>
        <v>1339938913</v>
      </c>
      <c r="M9" s="1004">
        <f>'[1]2'!J17</f>
        <v>226770233</v>
      </c>
      <c r="N9" s="1004">
        <f>'[1]2'!J18</f>
        <v>810831620.27999997</v>
      </c>
      <c r="O9" s="1004"/>
      <c r="P9" s="1004"/>
      <c r="Q9" s="1004"/>
      <c r="R9" s="1440">
        <f>'[1]2'!J22</f>
        <v>87900699</v>
      </c>
      <c r="S9" s="1440"/>
      <c r="T9" s="1006">
        <f>J9+K9+L9+M9+N9+R9</f>
        <v>2503421559.2799997</v>
      </c>
    </row>
    <row r="10" spans="1:20" ht="22.5" customHeight="1">
      <c r="A10" s="2"/>
      <c r="B10" s="17" t="s">
        <v>179</v>
      </c>
      <c r="C10" s="1441" t="s">
        <v>149</v>
      </c>
      <c r="D10" s="1441"/>
      <c r="E10" s="18" t="s">
        <v>150</v>
      </c>
      <c r="F10" s="693" t="s">
        <v>79</v>
      </c>
      <c r="G10" s="18" t="s">
        <v>80</v>
      </c>
      <c r="H10" s="1002">
        <v>2026</v>
      </c>
      <c r="I10" s="1003" t="s">
        <v>84</v>
      </c>
      <c r="J10" s="1004"/>
      <c r="K10" s="1004"/>
      <c r="L10" s="1004"/>
      <c r="M10" s="1004"/>
      <c r="N10" s="1004"/>
      <c r="O10" s="1004"/>
      <c r="P10" s="1004"/>
      <c r="Q10" s="1004"/>
      <c r="R10" s="1440"/>
      <c r="S10" s="1440"/>
      <c r="T10" s="1006"/>
    </row>
    <row r="11" spans="1:20" ht="22.5" customHeight="1">
      <c r="A11" s="2"/>
      <c r="B11" s="17" t="s">
        <v>179</v>
      </c>
      <c r="C11" s="1441" t="s">
        <v>149</v>
      </c>
      <c r="D11" s="1441"/>
      <c r="E11" s="18" t="s">
        <v>150</v>
      </c>
      <c r="F11" s="693"/>
      <c r="G11" s="18" t="s">
        <v>68</v>
      </c>
      <c r="H11" s="1002">
        <v>2026</v>
      </c>
      <c r="I11" s="1009" t="s">
        <v>81</v>
      </c>
      <c r="J11" s="1004"/>
      <c r="K11" s="1004">
        <v>459213000</v>
      </c>
      <c r="L11" s="1004">
        <v>1504100000</v>
      </c>
      <c r="M11" s="1004">
        <v>241466000</v>
      </c>
      <c r="N11" s="1004">
        <v>910061000</v>
      </c>
      <c r="O11" s="1004"/>
      <c r="P11" s="1004"/>
      <c r="Q11" s="1004"/>
      <c r="R11" s="1440">
        <v>143363000</v>
      </c>
      <c r="S11" s="1440"/>
      <c r="T11" s="1006">
        <f t="shared" si="0"/>
        <v>3258203000</v>
      </c>
    </row>
    <row r="12" spans="1:20" ht="22.5" customHeight="1">
      <c r="A12" s="2"/>
      <c r="B12" s="17" t="s">
        <v>179</v>
      </c>
      <c r="C12" s="1441" t="s">
        <v>149</v>
      </c>
      <c r="D12" s="1441"/>
      <c r="E12" s="18" t="s">
        <v>150</v>
      </c>
      <c r="F12" s="693"/>
      <c r="G12" s="18" t="s">
        <v>68</v>
      </c>
      <c r="H12" s="1002">
        <v>2026</v>
      </c>
      <c r="I12" s="1009" t="s">
        <v>82</v>
      </c>
      <c r="J12" s="1004"/>
      <c r="K12" s="1004">
        <v>459213000</v>
      </c>
      <c r="L12" s="1004">
        <v>1504100000</v>
      </c>
      <c r="M12" s="1004">
        <v>241466000</v>
      </c>
      <c r="N12" s="1004">
        <v>910061000</v>
      </c>
      <c r="O12" s="1004"/>
      <c r="P12" s="1004"/>
      <c r="Q12" s="1004"/>
      <c r="R12" s="1440">
        <v>143363001</v>
      </c>
      <c r="S12" s="1440"/>
      <c r="T12" s="1006">
        <f t="shared" si="0"/>
        <v>3258203001</v>
      </c>
    </row>
    <row r="13" spans="1:20" ht="22.5" customHeight="1">
      <c r="A13" s="2"/>
      <c r="B13" s="17" t="s">
        <v>179</v>
      </c>
      <c r="C13" s="1441" t="s">
        <v>149</v>
      </c>
      <c r="D13" s="1441"/>
      <c r="E13" s="18" t="s">
        <v>150</v>
      </c>
      <c r="F13" s="693"/>
      <c r="G13" s="18" t="s">
        <v>68</v>
      </c>
      <c r="H13" s="1002">
        <v>2026</v>
      </c>
      <c r="I13" s="1003" t="s">
        <v>83</v>
      </c>
      <c r="J13" s="1004"/>
      <c r="K13" s="1004">
        <v>37980094</v>
      </c>
      <c r="L13" s="1004">
        <v>1339938913</v>
      </c>
      <c r="M13" s="1004">
        <v>226770233</v>
      </c>
      <c r="N13" s="1004">
        <v>810831620.27999997</v>
      </c>
      <c r="O13" s="1004"/>
      <c r="P13" s="1004"/>
      <c r="Q13" s="1004"/>
      <c r="R13" s="1440">
        <v>87900699</v>
      </c>
      <c r="S13" s="1440"/>
      <c r="T13" s="1006">
        <f t="shared" si="0"/>
        <v>2503421559.2799997</v>
      </c>
    </row>
    <row r="14" spans="1:20" ht="22.5" customHeight="1">
      <c r="A14" s="2"/>
      <c r="B14" s="17" t="s">
        <v>179</v>
      </c>
      <c r="C14" s="1441" t="s">
        <v>149</v>
      </c>
      <c r="D14" s="1441"/>
      <c r="E14" s="18" t="s">
        <v>150</v>
      </c>
      <c r="F14" s="693"/>
      <c r="G14" s="18" t="s">
        <v>68</v>
      </c>
      <c r="H14" s="1002">
        <v>2026</v>
      </c>
      <c r="I14" s="1003" t="s">
        <v>84</v>
      </c>
      <c r="J14" s="1004"/>
      <c r="K14" s="1004"/>
      <c r="L14" s="1004"/>
      <c r="M14" s="1004"/>
      <c r="N14" s="1004"/>
      <c r="O14" s="1004"/>
      <c r="P14" s="1004"/>
      <c r="Q14" s="1004"/>
      <c r="R14" s="1440"/>
      <c r="S14" s="1440"/>
      <c r="T14" s="1006"/>
    </row>
    <row r="15" spans="1:20" ht="22.5" customHeight="1">
      <c r="A15" s="2"/>
      <c r="B15" s="17" t="s">
        <v>179</v>
      </c>
      <c r="C15" s="1441" t="s">
        <v>149</v>
      </c>
      <c r="D15" s="1441"/>
      <c r="E15" s="18" t="s">
        <v>89</v>
      </c>
      <c r="F15" s="693"/>
      <c r="G15" s="18"/>
      <c r="H15" s="1002">
        <v>2026</v>
      </c>
      <c r="I15" s="1003"/>
      <c r="J15" s="1004">
        <f>J8-J9</f>
        <v>0</v>
      </c>
      <c r="K15" s="1004">
        <f>K8-K9</f>
        <v>2227519906</v>
      </c>
      <c r="L15" s="1004">
        <f>L8-L9</f>
        <v>2601561087</v>
      </c>
      <c r="M15" s="1004">
        <f>M8-M9</f>
        <v>414529767</v>
      </c>
      <c r="N15" s="1004">
        <f>N8-N9</f>
        <v>3133719379.7200003</v>
      </c>
      <c r="O15" s="1004">
        <v>0</v>
      </c>
      <c r="P15" s="1004">
        <v>0</v>
      </c>
      <c r="Q15" s="1004">
        <v>0</v>
      </c>
      <c r="R15" s="1440">
        <f>R8-R9</f>
        <v>275784301</v>
      </c>
      <c r="S15" s="1440"/>
      <c r="T15" s="1006">
        <f>J15+K15+L15+M15+N15+R15</f>
        <v>8653114440.7200012</v>
      </c>
    </row>
    <row r="16" spans="1:20" ht="22.5" customHeight="1">
      <c r="A16" s="2"/>
      <c r="B16" s="17" t="s">
        <v>179</v>
      </c>
      <c r="C16" s="1441" t="s">
        <v>149</v>
      </c>
      <c r="D16" s="1441"/>
      <c r="E16" s="18" t="s">
        <v>90</v>
      </c>
      <c r="F16" s="693"/>
      <c r="G16" s="18"/>
      <c r="H16" s="1002">
        <v>2026</v>
      </c>
      <c r="I16" s="1003"/>
      <c r="J16" s="1442">
        <v>8</v>
      </c>
      <c r="K16" s="1443"/>
      <c r="L16" s="1442">
        <v>77</v>
      </c>
      <c r="M16" s="1444"/>
      <c r="N16" s="1444"/>
      <c r="O16" s="1444"/>
      <c r="P16" s="1444"/>
      <c r="Q16" s="1444"/>
      <c r="R16" s="1444"/>
      <c r="S16" s="1443"/>
      <c r="T16" s="1006">
        <f>T13/T8*100</f>
        <v>22.439057779941727</v>
      </c>
    </row>
    <row r="17" spans="1:20" ht="22.5" customHeight="1">
      <c r="A17" s="2"/>
      <c r="B17" s="17" t="s">
        <v>179</v>
      </c>
      <c r="C17" s="1441" t="s">
        <v>149</v>
      </c>
      <c r="D17" s="1441"/>
      <c r="E17" s="18" t="s">
        <v>108</v>
      </c>
      <c r="F17" s="775" t="s">
        <v>91</v>
      </c>
      <c r="G17" s="759" t="s">
        <v>108</v>
      </c>
      <c r="H17" s="1002">
        <v>2026</v>
      </c>
      <c r="I17" s="1003" t="s">
        <v>474</v>
      </c>
      <c r="J17" s="995"/>
      <c r="K17" s="1007">
        <v>16477878</v>
      </c>
      <c r="L17" s="1004">
        <v>0</v>
      </c>
      <c r="M17" s="1004">
        <v>0</v>
      </c>
      <c r="N17" s="1008">
        <v>598804</v>
      </c>
      <c r="O17" s="1004">
        <v>0</v>
      </c>
      <c r="P17" s="1004">
        <v>0</v>
      </c>
      <c r="Q17" s="1004">
        <v>0</v>
      </c>
      <c r="R17" s="1440">
        <v>0</v>
      </c>
      <c r="S17" s="1440"/>
      <c r="T17" s="985">
        <f>SUM(K17:S17)</f>
        <v>17076682</v>
      </c>
    </row>
    <row r="18" spans="1:20" ht="22.5" customHeight="1">
      <c r="A18" s="2"/>
      <c r="B18" s="17" t="s">
        <v>179</v>
      </c>
      <c r="C18" s="1441" t="s">
        <v>149</v>
      </c>
      <c r="D18" s="1441"/>
      <c r="E18" s="18" t="s">
        <v>108</v>
      </c>
      <c r="F18" s="775" t="s">
        <v>91</v>
      </c>
      <c r="G18" s="759" t="s">
        <v>108</v>
      </c>
      <c r="H18" s="1002">
        <v>2026</v>
      </c>
      <c r="I18" s="1003" t="s">
        <v>83</v>
      </c>
      <c r="J18" s="1004">
        <v>0</v>
      </c>
      <c r="K18" s="1004">
        <v>0</v>
      </c>
      <c r="L18" s="1004">
        <v>0</v>
      </c>
      <c r="M18" s="1004">
        <v>0</v>
      </c>
      <c r="N18" s="1004">
        <v>0</v>
      </c>
      <c r="O18" s="1004">
        <v>0</v>
      </c>
      <c r="P18" s="1004">
        <v>0</v>
      </c>
      <c r="Q18" s="1004">
        <v>0</v>
      </c>
      <c r="R18" s="1440">
        <v>0</v>
      </c>
      <c r="S18" s="1440"/>
      <c r="T18" s="1006">
        <v>0</v>
      </c>
    </row>
    <row r="19" spans="1:20"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</sheetData>
  <mergeCells count="38">
    <mergeCell ref="B2:R2"/>
    <mergeCell ref="B3:T3"/>
    <mergeCell ref="R6:S6"/>
    <mergeCell ref="R7:S7"/>
    <mergeCell ref="F4:F6"/>
    <mergeCell ref="G4:G6"/>
    <mergeCell ref="H4:H5"/>
    <mergeCell ref="I4:I6"/>
    <mergeCell ref="J4:T4"/>
    <mergeCell ref="R5:S5"/>
    <mergeCell ref="A4:A5"/>
    <mergeCell ref="B4:B6"/>
    <mergeCell ref="C4:D6"/>
    <mergeCell ref="E4:E6"/>
    <mergeCell ref="C7:D7"/>
    <mergeCell ref="R8:S8"/>
    <mergeCell ref="C9:D9"/>
    <mergeCell ref="R9:S9"/>
    <mergeCell ref="C10:D10"/>
    <mergeCell ref="R10:S10"/>
    <mergeCell ref="C8:D8"/>
    <mergeCell ref="R11:S11"/>
    <mergeCell ref="C12:D12"/>
    <mergeCell ref="R12:S12"/>
    <mergeCell ref="C13:D13"/>
    <mergeCell ref="R13:S13"/>
    <mergeCell ref="C11:D11"/>
    <mergeCell ref="R18:S18"/>
    <mergeCell ref="R14:S14"/>
    <mergeCell ref="C15:D15"/>
    <mergeCell ref="R15:S15"/>
    <mergeCell ref="C16:D16"/>
    <mergeCell ref="C14:D14"/>
    <mergeCell ref="C17:D17"/>
    <mergeCell ref="C18:D18"/>
    <mergeCell ref="J16:K16"/>
    <mergeCell ref="L16:S16"/>
    <mergeCell ref="R17:S17"/>
  </mergeCells>
  <pageMargins left="0.21" right="0.2" top="0.75" bottom="0.75" header="0.3" footer="0.3"/>
  <pageSetup scale="9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T19"/>
  <sheetViews>
    <sheetView workbookViewId="0">
      <selection activeCell="N14" sqref="N14"/>
    </sheetView>
  </sheetViews>
  <sheetFormatPr defaultRowHeight="12.75"/>
  <cols>
    <col min="1" max="1" width="3.28515625" style="1012" customWidth="1"/>
    <col min="2" max="2" width="0.140625" style="1012" customWidth="1"/>
    <col min="3" max="3" width="7.42578125" style="1012" customWidth="1"/>
    <col min="4" max="4" width="1.28515625" style="1012" customWidth="1"/>
    <col min="5" max="5" width="6.5703125" style="1012" customWidth="1"/>
    <col min="6" max="6" width="17" style="1012" customWidth="1"/>
    <col min="7" max="7" width="7.7109375" style="1012" customWidth="1"/>
    <col min="8" max="8" width="11.85546875" style="1012" customWidth="1"/>
    <col min="9" max="9" width="8.28515625" style="1012" customWidth="1"/>
    <col min="10" max="10" width="11.85546875" style="1012" customWidth="1"/>
    <col min="11" max="11" width="10.140625" style="1012" customWidth="1"/>
    <col min="12" max="12" width="12.85546875" style="1012" customWidth="1"/>
    <col min="13" max="13" width="12.140625" style="1012" customWidth="1"/>
    <col min="14" max="15" width="10.85546875" style="1012" customWidth="1"/>
    <col min="16" max="16" width="8" style="1012" customWidth="1"/>
    <col min="17" max="17" width="8.140625" style="1012" customWidth="1"/>
    <col min="18" max="18" width="8.28515625" style="1012" customWidth="1"/>
    <col min="19" max="19" width="9.42578125" style="1012" customWidth="1"/>
    <col min="20" max="20" width="15.140625" style="1012" customWidth="1"/>
    <col min="21" max="256" width="9.140625" style="1012"/>
    <col min="257" max="257" width="3.28515625" style="1012" customWidth="1"/>
    <col min="258" max="258" width="0.140625" style="1012" customWidth="1"/>
    <col min="259" max="259" width="7.42578125" style="1012" customWidth="1"/>
    <col min="260" max="260" width="1.28515625" style="1012" customWidth="1"/>
    <col min="261" max="261" width="6.5703125" style="1012" customWidth="1"/>
    <col min="262" max="262" width="17" style="1012" customWidth="1"/>
    <col min="263" max="263" width="7.7109375" style="1012" customWidth="1"/>
    <col min="264" max="264" width="11.85546875" style="1012" customWidth="1"/>
    <col min="265" max="265" width="8.28515625" style="1012" customWidth="1"/>
    <col min="266" max="266" width="8.85546875" style="1012" customWidth="1"/>
    <col min="267" max="267" width="8.42578125" style="1012" customWidth="1"/>
    <col min="268" max="268" width="9.7109375" style="1012" customWidth="1"/>
    <col min="269" max="269" width="10.42578125" style="1012" customWidth="1"/>
    <col min="270" max="270" width="9.5703125" style="1012" customWidth="1"/>
    <col min="271" max="271" width="9.85546875" style="1012" customWidth="1"/>
    <col min="272" max="272" width="8" style="1012" customWidth="1"/>
    <col min="273" max="273" width="8.140625" style="1012" customWidth="1"/>
    <col min="274" max="274" width="8.28515625" style="1012" customWidth="1"/>
    <col min="275" max="275" width="9.42578125" style="1012" customWidth="1"/>
    <col min="276" max="276" width="11.85546875" style="1012" customWidth="1"/>
    <col min="277" max="512" width="9.140625" style="1012"/>
    <col min="513" max="513" width="3.28515625" style="1012" customWidth="1"/>
    <col min="514" max="514" width="0.140625" style="1012" customWidth="1"/>
    <col min="515" max="515" width="7.42578125" style="1012" customWidth="1"/>
    <col min="516" max="516" width="1.28515625" style="1012" customWidth="1"/>
    <col min="517" max="517" width="6.5703125" style="1012" customWidth="1"/>
    <col min="518" max="518" width="17" style="1012" customWidth="1"/>
    <col min="519" max="519" width="7.7109375" style="1012" customWidth="1"/>
    <col min="520" max="520" width="11.85546875" style="1012" customWidth="1"/>
    <col min="521" max="521" width="8.28515625" style="1012" customWidth="1"/>
    <col min="522" max="522" width="8.85546875" style="1012" customWidth="1"/>
    <col min="523" max="523" width="8.42578125" style="1012" customWidth="1"/>
    <col min="524" max="524" width="9.7109375" style="1012" customWidth="1"/>
    <col min="525" max="525" width="10.42578125" style="1012" customWidth="1"/>
    <col min="526" max="526" width="9.5703125" style="1012" customWidth="1"/>
    <col min="527" max="527" width="9.85546875" style="1012" customWidth="1"/>
    <col min="528" max="528" width="8" style="1012" customWidth="1"/>
    <col min="529" max="529" width="8.140625" style="1012" customWidth="1"/>
    <col min="530" max="530" width="8.28515625" style="1012" customWidth="1"/>
    <col min="531" max="531" width="9.42578125" style="1012" customWidth="1"/>
    <col min="532" max="532" width="11.85546875" style="1012" customWidth="1"/>
    <col min="533" max="768" width="9.140625" style="1012"/>
    <col min="769" max="769" width="3.28515625" style="1012" customWidth="1"/>
    <col min="770" max="770" width="0.140625" style="1012" customWidth="1"/>
    <col min="771" max="771" width="7.42578125" style="1012" customWidth="1"/>
    <col min="772" max="772" width="1.28515625" style="1012" customWidth="1"/>
    <col min="773" max="773" width="6.5703125" style="1012" customWidth="1"/>
    <col min="774" max="774" width="17" style="1012" customWidth="1"/>
    <col min="775" max="775" width="7.7109375" style="1012" customWidth="1"/>
    <col min="776" max="776" width="11.85546875" style="1012" customWidth="1"/>
    <col min="777" max="777" width="8.28515625" style="1012" customWidth="1"/>
    <col min="778" max="778" width="8.85546875" style="1012" customWidth="1"/>
    <col min="779" max="779" width="8.42578125" style="1012" customWidth="1"/>
    <col min="780" max="780" width="9.7109375" style="1012" customWidth="1"/>
    <col min="781" max="781" width="10.42578125" style="1012" customWidth="1"/>
    <col min="782" max="782" width="9.5703125" style="1012" customWidth="1"/>
    <col min="783" max="783" width="9.85546875" style="1012" customWidth="1"/>
    <col min="784" max="784" width="8" style="1012" customWidth="1"/>
    <col min="785" max="785" width="8.140625" style="1012" customWidth="1"/>
    <col min="786" max="786" width="8.28515625" style="1012" customWidth="1"/>
    <col min="787" max="787" width="9.42578125" style="1012" customWidth="1"/>
    <col min="788" max="788" width="11.85546875" style="1012" customWidth="1"/>
    <col min="789" max="1024" width="9.140625" style="1012"/>
    <col min="1025" max="1025" width="3.28515625" style="1012" customWidth="1"/>
    <col min="1026" max="1026" width="0.140625" style="1012" customWidth="1"/>
    <col min="1027" max="1027" width="7.42578125" style="1012" customWidth="1"/>
    <col min="1028" max="1028" width="1.28515625" style="1012" customWidth="1"/>
    <col min="1029" max="1029" width="6.5703125" style="1012" customWidth="1"/>
    <col min="1030" max="1030" width="17" style="1012" customWidth="1"/>
    <col min="1031" max="1031" width="7.7109375" style="1012" customWidth="1"/>
    <col min="1032" max="1032" width="11.85546875" style="1012" customWidth="1"/>
    <col min="1033" max="1033" width="8.28515625" style="1012" customWidth="1"/>
    <col min="1034" max="1034" width="8.85546875" style="1012" customWidth="1"/>
    <col min="1035" max="1035" width="8.42578125" style="1012" customWidth="1"/>
    <col min="1036" max="1036" width="9.7109375" style="1012" customWidth="1"/>
    <col min="1037" max="1037" width="10.42578125" style="1012" customWidth="1"/>
    <col min="1038" max="1038" width="9.5703125" style="1012" customWidth="1"/>
    <col min="1039" max="1039" width="9.85546875" style="1012" customWidth="1"/>
    <col min="1040" max="1040" width="8" style="1012" customWidth="1"/>
    <col min="1041" max="1041" width="8.140625" style="1012" customWidth="1"/>
    <col min="1042" max="1042" width="8.28515625" style="1012" customWidth="1"/>
    <col min="1043" max="1043" width="9.42578125" style="1012" customWidth="1"/>
    <col min="1044" max="1044" width="11.85546875" style="1012" customWidth="1"/>
    <col min="1045" max="1280" width="9.140625" style="1012"/>
    <col min="1281" max="1281" width="3.28515625" style="1012" customWidth="1"/>
    <col min="1282" max="1282" width="0.140625" style="1012" customWidth="1"/>
    <col min="1283" max="1283" width="7.42578125" style="1012" customWidth="1"/>
    <col min="1284" max="1284" width="1.28515625" style="1012" customWidth="1"/>
    <col min="1285" max="1285" width="6.5703125" style="1012" customWidth="1"/>
    <col min="1286" max="1286" width="17" style="1012" customWidth="1"/>
    <col min="1287" max="1287" width="7.7109375" style="1012" customWidth="1"/>
    <col min="1288" max="1288" width="11.85546875" style="1012" customWidth="1"/>
    <col min="1289" max="1289" width="8.28515625" style="1012" customWidth="1"/>
    <col min="1290" max="1290" width="8.85546875" style="1012" customWidth="1"/>
    <col min="1291" max="1291" width="8.42578125" style="1012" customWidth="1"/>
    <col min="1292" max="1292" width="9.7109375" style="1012" customWidth="1"/>
    <col min="1293" max="1293" width="10.42578125" style="1012" customWidth="1"/>
    <col min="1294" max="1294" width="9.5703125" style="1012" customWidth="1"/>
    <col min="1295" max="1295" width="9.85546875" style="1012" customWidth="1"/>
    <col min="1296" max="1296" width="8" style="1012" customWidth="1"/>
    <col min="1297" max="1297" width="8.140625" style="1012" customWidth="1"/>
    <col min="1298" max="1298" width="8.28515625" style="1012" customWidth="1"/>
    <col min="1299" max="1299" width="9.42578125" style="1012" customWidth="1"/>
    <col min="1300" max="1300" width="11.85546875" style="1012" customWidth="1"/>
    <col min="1301" max="1536" width="9.140625" style="1012"/>
    <col min="1537" max="1537" width="3.28515625" style="1012" customWidth="1"/>
    <col min="1538" max="1538" width="0.140625" style="1012" customWidth="1"/>
    <col min="1539" max="1539" width="7.42578125" style="1012" customWidth="1"/>
    <col min="1540" max="1540" width="1.28515625" style="1012" customWidth="1"/>
    <col min="1541" max="1541" width="6.5703125" style="1012" customWidth="1"/>
    <col min="1542" max="1542" width="17" style="1012" customWidth="1"/>
    <col min="1543" max="1543" width="7.7109375" style="1012" customWidth="1"/>
    <col min="1544" max="1544" width="11.85546875" style="1012" customWidth="1"/>
    <col min="1545" max="1545" width="8.28515625" style="1012" customWidth="1"/>
    <col min="1546" max="1546" width="8.85546875" style="1012" customWidth="1"/>
    <col min="1547" max="1547" width="8.42578125" style="1012" customWidth="1"/>
    <col min="1548" max="1548" width="9.7109375" style="1012" customWidth="1"/>
    <col min="1549" max="1549" width="10.42578125" style="1012" customWidth="1"/>
    <col min="1550" max="1550" width="9.5703125" style="1012" customWidth="1"/>
    <col min="1551" max="1551" width="9.85546875" style="1012" customWidth="1"/>
    <col min="1552" max="1552" width="8" style="1012" customWidth="1"/>
    <col min="1553" max="1553" width="8.140625" style="1012" customWidth="1"/>
    <col min="1554" max="1554" width="8.28515625" style="1012" customWidth="1"/>
    <col min="1555" max="1555" width="9.42578125" style="1012" customWidth="1"/>
    <col min="1556" max="1556" width="11.85546875" style="1012" customWidth="1"/>
    <col min="1557" max="1792" width="9.140625" style="1012"/>
    <col min="1793" max="1793" width="3.28515625" style="1012" customWidth="1"/>
    <col min="1794" max="1794" width="0.140625" style="1012" customWidth="1"/>
    <col min="1795" max="1795" width="7.42578125" style="1012" customWidth="1"/>
    <col min="1796" max="1796" width="1.28515625" style="1012" customWidth="1"/>
    <col min="1797" max="1797" width="6.5703125" style="1012" customWidth="1"/>
    <col min="1798" max="1798" width="17" style="1012" customWidth="1"/>
    <col min="1799" max="1799" width="7.7109375" style="1012" customWidth="1"/>
    <col min="1800" max="1800" width="11.85546875" style="1012" customWidth="1"/>
    <col min="1801" max="1801" width="8.28515625" style="1012" customWidth="1"/>
    <col min="1802" max="1802" width="8.85546875" style="1012" customWidth="1"/>
    <col min="1803" max="1803" width="8.42578125" style="1012" customWidth="1"/>
    <col min="1804" max="1804" width="9.7109375" style="1012" customWidth="1"/>
    <col min="1805" max="1805" width="10.42578125" style="1012" customWidth="1"/>
    <col min="1806" max="1806" width="9.5703125" style="1012" customWidth="1"/>
    <col min="1807" max="1807" width="9.85546875" style="1012" customWidth="1"/>
    <col min="1808" max="1808" width="8" style="1012" customWidth="1"/>
    <col min="1809" max="1809" width="8.140625" style="1012" customWidth="1"/>
    <col min="1810" max="1810" width="8.28515625" style="1012" customWidth="1"/>
    <col min="1811" max="1811" width="9.42578125" style="1012" customWidth="1"/>
    <col min="1812" max="1812" width="11.85546875" style="1012" customWidth="1"/>
    <col min="1813" max="2048" width="9.140625" style="1012"/>
    <col min="2049" max="2049" width="3.28515625" style="1012" customWidth="1"/>
    <col min="2050" max="2050" width="0.140625" style="1012" customWidth="1"/>
    <col min="2051" max="2051" width="7.42578125" style="1012" customWidth="1"/>
    <col min="2052" max="2052" width="1.28515625" style="1012" customWidth="1"/>
    <col min="2053" max="2053" width="6.5703125" style="1012" customWidth="1"/>
    <col min="2054" max="2054" width="17" style="1012" customWidth="1"/>
    <col min="2055" max="2055" width="7.7109375" style="1012" customWidth="1"/>
    <col min="2056" max="2056" width="11.85546875" style="1012" customWidth="1"/>
    <col min="2057" max="2057" width="8.28515625" style="1012" customWidth="1"/>
    <col min="2058" max="2058" width="8.85546875" style="1012" customWidth="1"/>
    <col min="2059" max="2059" width="8.42578125" style="1012" customWidth="1"/>
    <col min="2060" max="2060" width="9.7109375" style="1012" customWidth="1"/>
    <col min="2061" max="2061" width="10.42578125" style="1012" customWidth="1"/>
    <col min="2062" max="2062" width="9.5703125" style="1012" customWidth="1"/>
    <col min="2063" max="2063" width="9.85546875" style="1012" customWidth="1"/>
    <col min="2064" max="2064" width="8" style="1012" customWidth="1"/>
    <col min="2065" max="2065" width="8.140625" style="1012" customWidth="1"/>
    <col min="2066" max="2066" width="8.28515625" style="1012" customWidth="1"/>
    <col min="2067" max="2067" width="9.42578125" style="1012" customWidth="1"/>
    <col min="2068" max="2068" width="11.85546875" style="1012" customWidth="1"/>
    <col min="2069" max="2304" width="9.140625" style="1012"/>
    <col min="2305" max="2305" width="3.28515625" style="1012" customWidth="1"/>
    <col min="2306" max="2306" width="0.140625" style="1012" customWidth="1"/>
    <col min="2307" max="2307" width="7.42578125" style="1012" customWidth="1"/>
    <col min="2308" max="2308" width="1.28515625" style="1012" customWidth="1"/>
    <col min="2309" max="2309" width="6.5703125" style="1012" customWidth="1"/>
    <col min="2310" max="2310" width="17" style="1012" customWidth="1"/>
    <col min="2311" max="2311" width="7.7109375" style="1012" customWidth="1"/>
    <col min="2312" max="2312" width="11.85546875" style="1012" customWidth="1"/>
    <col min="2313" max="2313" width="8.28515625" style="1012" customWidth="1"/>
    <col min="2314" max="2314" width="8.85546875" style="1012" customWidth="1"/>
    <col min="2315" max="2315" width="8.42578125" style="1012" customWidth="1"/>
    <col min="2316" max="2316" width="9.7109375" style="1012" customWidth="1"/>
    <col min="2317" max="2317" width="10.42578125" style="1012" customWidth="1"/>
    <col min="2318" max="2318" width="9.5703125" style="1012" customWidth="1"/>
    <col min="2319" max="2319" width="9.85546875" style="1012" customWidth="1"/>
    <col min="2320" max="2320" width="8" style="1012" customWidth="1"/>
    <col min="2321" max="2321" width="8.140625" style="1012" customWidth="1"/>
    <col min="2322" max="2322" width="8.28515625" style="1012" customWidth="1"/>
    <col min="2323" max="2323" width="9.42578125" style="1012" customWidth="1"/>
    <col min="2324" max="2324" width="11.85546875" style="1012" customWidth="1"/>
    <col min="2325" max="2560" width="9.140625" style="1012"/>
    <col min="2561" max="2561" width="3.28515625" style="1012" customWidth="1"/>
    <col min="2562" max="2562" width="0.140625" style="1012" customWidth="1"/>
    <col min="2563" max="2563" width="7.42578125" style="1012" customWidth="1"/>
    <col min="2564" max="2564" width="1.28515625" style="1012" customWidth="1"/>
    <col min="2565" max="2565" width="6.5703125" style="1012" customWidth="1"/>
    <col min="2566" max="2566" width="17" style="1012" customWidth="1"/>
    <col min="2567" max="2567" width="7.7109375" style="1012" customWidth="1"/>
    <col min="2568" max="2568" width="11.85546875" style="1012" customWidth="1"/>
    <col min="2569" max="2569" width="8.28515625" style="1012" customWidth="1"/>
    <col min="2570" max="2570" width="8.85546875" style="1012" customWidth="1"/>
    <col min="2571" max="2571" width="8.42578125" style="1012" customWidth="1"/>
    <col min="2572" max="2572" width="9.7109375" style="1012" customWidth="1"/>
    <col min="2573" max="2573" width="10.42578125" style="1012" customWidth="1"/>
    <col min="2574" max="2574" width="9.5703125" style="1012" customWidth="1"/>
    <col min="2575" max="2575" width="9.85546875" style="1012" customWidth="1"/>
    <col min="2576" max="2576" width="8" style="1012" customWidth="1"/>
    <col min="2577" max="2577" width="8.140625" style="1012" customWidth="1"/>
    <col min="2578" max="2578" width="8.28515625" style="1012" customWidth="1"/>
    <col min="2579" max="2579" width="9.42578125" style="1012" customWidth="1"/>
    <col min="2580" max="2580" width="11.85546875" style="1012" customWidth="1"/>
    <col min="2581" max="2816" width="9.140625" style="1012"/>
    <col min="2817" max="2817" width="3.28515625" style="1012" customWidth="1"/>
    <col min="2818" max="2818" width="0.140625" style="1012" customWidth="1"/>
    <col min="2819" max="2819" width="7.42578125" style="1012" customWidth="1"/>
    <col min="2820" max="2820" width="1.28515625" style="1012" customWidth="1"/>
    <col min="2821" max="2821" width="6.5703125" style="1012" customWidth="1"/>
    <col min="2822" max="2822" width="17" style="1012" customWidth="1"/>
    <col min="2823" max="2823" width="7.7109375" style="1012" customWidth="1"/>
    <col min="2824" max="2824" width="11.85546875" style="1012" customWidth="1"/>
    <col min="2825" max="2825" width="8.28515625" style="1012" customWidth="1"/>
    <col min="2826" max="2826" width="8.85546875" style="1012" customWidth="1"/>
    <col min="2827" max="2827" width="8.42578125" style="1012" customWidth="1"/>
    <col min="2828" max="2828" width="9.7109375" style="1012" customWidth="1"/>
    <col min="2829" max="2829" width="10.42578125" style="1012" customWidth="1"/>
    <col min="2830" max="2830" width="9.5703125" style="1012" customWidth="1"/>
    <col min="2831" max="2831" width="9.85546875" style="1012" customWidth="1"/>
    <col min="2832" max="2832" width="8" style="1012" customWidth="1"/>
    <col min="2833" max="2833" width="8.140625" style="1012" customWidth="1"/>
    <col min="2834" max="2834" width="8.28515625" style="1012" customWidth="1"/>
    <col min="2835" max="2835" width="9.42578125" style="1012" customWidth="1"/>
    <col min="2836" max="2836" width="11.85546875" style="1012" customWidth="1"/>
    <col min="2837" max="3072" width="9.140625" style="1012"/>
    <col min="3073" max="3073" width="3.28515625" style="1012" customWidth="1"/>
    <col min="3074" max="3074" width="0.140625" style="1012" customWidth="1"/>
    <col min="3075" max="3075" width="7.42578125" style="1012" customWidth="1"/>
    <col min="3076" max="3076" width="1.28515625" style="1012" customWidth="1"/>
    <col min="3077" max="3077" width="6.5703125" style="1012" customWidth="1"/>
    <col min="3078" max="3078" width="17" style="1012" customWidth="1"/>
    <col min="3079" max="3079" width="7.7109375" style="1012" customWidth="1"/>
    <col min="3080" max="3080" width="11.85546875" style="1012" customWidth="1"/>
    <col min="3081" max="3081" width="8.28515625" style="1012" customWidth="1"/>
    <col min="3082" max="3082" width="8.85546875" style="1012" customWidth="1"/>
    <col min="3083" max="3083" width="8.42578125" style="1012" customWidth="1"/>
    <col min="3084" max="3084" width="9.7109375" style="1012" customWidth="1"/>
    <col min="3085" max="3085" width="10.42578125" style="1012" customWidth="1"/>
    <col min="3086" max="3086" width="9.5703125" style="1012" customWidth="1"/>
    <col min="3087" max="3087" width="9.85546875" style="1012" customWidth="1"/>
    <col min="3088" max="3088" width="8" style="1012" customWidth="1"/>
    <col min="3089" max="3089" width="8.140625" style="1012" customWidth="1"/>
    <col min="3090" max="3090" width="8.28515625" style="1012" customWidth="1"/>
    <col min="3091" max="3091" width="9.42578125" style="1012" customWidth="1"/>
    <col min="3092" max="3092" width="11.85546875" style="1012" customWidth="1"/>
    <col min="3093" max="3328" width="9.140625" style="1012"/>
    <col min="3329" max="3329" width="3.28515625" style="1012" customWidth="1"/>
    <col min="3330" max="3330" width="0.140625" style="1012" customWidth="1"/>
    <col min="3331" max="3331" width="7.42578125" style="1012" customWidth="1"/>
    <col min="3332" max="3332" width="1.28515625" style="1012" customWidth="1"/>
    <col min="3333" max="3333" width="6.5703125" style="1012" customWidth="1"/>
    <col min="3334" max="3334" width="17" style="1012" customWidth="1"/>
    <col min="3335" max="3335" width="7.7109375" style="1012" customWidth="1"/>
    <col min="3336" max="3336" width="11.85546875" style="1012" customWidth="1"/>
    <col min="3337" max="3337" width="8.28515625" style="1012" customWidth="1"/>
    <col min="3338" max="3338" width="8.85546875" style="1012" customWidth="1"/>
    <col min="3339" max="3339" width="8.42578125" style="1012" customWidth="1"/>
    <col min="3340" max="3340" width="9.7109375" style="1012" customWidth="1"/>
    <col min="3341" max="3341" width="10.42578125" style="1012" customWidth="1"/>
    <col min="3342" max="3342" width="9.5703125" style="1012" customWidth="1"/>
    <col min="3343" max="3343" width="9.85546875" style="1012" customWidth="1"/>
    <col min="3344" max="3344" width="8" style="1012" customWidth="1"/>
    <col min="3345" max="3345" width="8.140625" style="1012" customWidth="1"/>
    <col min="3346" max="3346" width="8.28515625" style="1012" customWidth="1"/>
    <col min="3347" max="3347" width="9.42578125" style="1012" customWidth="1"/>
    <col min="3348" max="3348" width="11.85546875" style="1012" customWidth="1"/>
    <col min="3349" max="3584" width="9.140625" style="1012"/>
    <col min="3585" max="3585" width="3.28515625" style="1012" customWidth="1"/>
    <col min="3586" max="3586" width="0.140625" style="1012" customWidth="1"/>
    <col min="3587" max="3587" width="7.42578125" style="1012" customWidth="1"/>
    <col min="3588" max="3588" width="1.28515625" style="1012" customWidth="1"/>
    <col min="3589" max="3589" width="6.5703125" style="1012" customWidth="1"/>
    <col min="3590" max="3590" width="17" style="1012" customWidth="1"/>
    <col min="3591" max="3591" width="7.7109375" style="1012" customWidth="1"/>
    <col min="3592" max="3592" width="11.85546875" style="1012" customWidth="1"/>
    <col min="3593" max="3593" width="8.28515625" style="1012" customWidth="1"/>
    <col min="3594" max="3594" width="8.85546875" style="1012" customWidth="1"/>
    <col min="3595" max="3595" width="8.42578125" style="1012" customWidth="1"/>
    <col min="3596" max="3596" width="9.7109375" style="1012" customWidth="1"/>
    <col min="3597" max="3597" width="10.42578125" style="1012" customWidth="1"/>
    <col min="3598" max="3598" width="9.5703125" style="1012" customWidth="1"/>
    <col min="3599" max="3599" width="9.85546875" style="1012" customWidth="1"/>
    <col min="3600" max="3600" width="8" style="1012" customWidth="1"/>
    <col min="3601" max="3601" width="8.140625" style="1012" customWidth="1"/>
    <col min="3602" max="3602" width="8.28515625" style="1012" customWidth="1"/>
    <col min="3603" max="3603" width="9.42578125" style="1012" customWidth="1"/>
    <col min="3604" max="3604" width="11.85546875" style="1012" customWidth="1"/>
    <col min="3605" max="3840" width="9.140625" style="1012"/>
    <col min="3841" max="3841" width="3.28515625" style="1012" customWidth="1"/>
    <col min="3842" max="3842" width="0.140625" style="1012" customWidth="1"/>
    <col min="3843" max="3843" width="7.42578125" style="1012" customWidth="1"/>
    <col min="3844" max="3844" width="1.28515625" style="1012" customWidth="1"/>
    <col min="3845" max="3845" width="6.5703125" style="1012" customWidth="1"/>
    <col min="3846" max="3846" width="17" style="1012" customWidth="1"/>
    <col min="3847" max="3847" width="7.7109375" style="1012" customWidth="1"/>
    <col min="3848" max="3848" width="11.85546875" style="1012" customWidth="1"/>
    <col min="3849" max="3849" width="8.28515625" style="1012" customWidth="1"/>
    <col min="3850" max="3850" width="8.85546875" style="1012" customWidth="1"/>
    <col min="3851" max="3851" width="8.42578125" style="1012" customWidth="1"/>
    <col min="3852" max="3852" width="9.7109375" style="1012" customWidth="1"/>
    <col min="3853" max="3853" width="10.42578125" style="1012" customWidth="1"/>
    <col min="3854" max="3854" width="9.5703125" style="1012" customWidth="1"/>
    <col min="3855" max="3855" width="9.85546875" style="1012" customWidth="1"/>
    <col min="3856" max="3856" width="8" style="1012" customWidth="1"/>
    <col min="3857" max="3857" width="8.140625" style="1012" customWidth="1"/>
    <col min="3858" max="3858" width="8.28515625" style="1012" customWidth="1"/>
    <col min="3859" max="3859" width="9.42578125" style="1012" customWidth="1"/>
    <col min="3860" max="3860" width="11.85546875" style="1012" customWidth="1"/>
    <col min="3861" max="4096" width="9.140625" style="1012"/>
    <col min="4097" max="4097" width="3.28515625" style="1012" customWidth="1"/>
    <col min="4098" max="4098" width="0.140625" style="1012" customWidth="1"/>
    <col min="4099" max="4099" width="7.42578125" style="1012" customWidth="1"/>
    <col min="4100" max="4100" width="1.28515625" style="1012" customWidth="1"/>
    <col min="4101" max="4101" width="6.5703125" style="1012" customWidth="1"/>
    <col min="4102" max="4102" width="17" style="1012" customWidth="1"/>
    <col min="4103" max="4103" width="7.7109375" style="1012" customWidth="1"/>
    <col min="4104" max="4104" width="11.85546875" style="1012" customWidth="1"/>
    <col min="4105" max="4105" width="8.28515625" style="1012" customWidth="1"/>
    <col min="4106" max="4106" width="8.85546875" style="1012" customWidth="1"/>
    <col min="4107" max="4107" width="8.42578125" style="1012" customWidth="1"/>
    <col min="4108" max="4108" width="9.7109375" style="1012" customWidth="1"/>
    <col min="4109" max="4109" width="10.42578125" style="1012" customWidth="1"/>
    <col min="4110" max="4110" width="9.5703125" style="1012" customWidth="1"/>
    <col min="4111" max="4111" width="9.85546875" style="1012" customWidth="1"/>
    <col min="4112" max="4112" width="8" style="1012" customWidth="1"/>
    <col min="4113" max="4113" width="8.140625" style="1012" customWidth="1"/>
    <col min="4114" max="4114" width="8.28515625" style="1012" customWidth="1"/>
    <col min="4115" max="4115" width="9.42578125" style="1012" customWidth="1"/>
    <col min="4116" max="4116" width="11.85546875" style="1012" customWidth="1"/>
    <col min="4117" max="4352" width="9.140625" style="1012"/>
    <col min="4353" max="4353" width="3.28515625" style="1012" customWidth="1"/>
    <col min="4354" max="4354" width="0.140625" style="1012" customWidth="1"/>
    <col min="4355" max="4355" width="7.42578125" style="1012" customWidth="1"/>
    <col min="4356" max="4356" width="1.28515625" style="1012" customWidth="1"/>
    <col min="4357" max="4357" width="6.5703125" style="1012" customWidth="1"/>
    <col min="4358" max="4358" width="17" style="1012" customWidth="1"/>
    <col min="4359" max="4359" width="7.7109375" style="1012" customWidth="1"/>
    <col min="4360" max="4360" width="11.85546875" style="1012" customWidth="1"/>
    <col min="4361" max="4361" width="8.28515625" style="1012" customWidth="1"/>
    <col min="4362" max="4362" width="8.85546875" style="1012" customWidth="1"/>
    <col min="4363" max="4363" width="8.42578125" style="1012" customWidth="1"/>
    <col min="4364" max="4364" width="9.7109375" style="1012" customWidth="1"/>
    <col min="4365" max="4365" width="10.42578125" style="1012" customWidth="1"/>
    <col min="4366" max="4366" width="9.5703125" style="1012" customWidth="1"/>
    <col min="4367" max="4367" width="9.85546875" style="1012" customWidth="1"/>
    <col min="4368" max="4368" width="8" style="1012" customWidth="1"/>
    <col min="4369" max="4369" width="8.140625" style="1012" customWidth="1"/>
    <col min="4370" max="4370" width="8.28515625" style="1012" customWidth="1"/>
    <col min="4371" max="4371" width="9.42578125" style="1012" customWidth="1"/>
    <col min="4372" max="4372" width="11.85546875" style="1012" customWidth="1"/>
    <col min="4373" max="4608" width="9.140625" style="1012"/>
    <col min="4609" max="4609" width="3.28515625" style="1012" customWidth="1"/>
    <col min="4610" max="4610" width="0.140625" style="1012" customWidth="1"/>
    <col min="4611" max="4611" width="7.42578125" style="1012" customWidth="1"/>
    <col min="4612" max="4612" width="1.28515625" style="1012" customWidth="1"/>
    <col min="4613" max="4613" width="6.5703125" style="1012" customWidth="1"/>
    <col min="4614" max="4614" width="17" style="1012" customWidth="1"/>
    <col min="4615" max="4615" width="7.7109375" style="1012" customWidth="1"/>
    <col min="4616" max="4616" width="11.85546875" style="1012" customWidth="1"/>
    <col min="4617" max="4617" width="8.28515625" style="1012" customWidth="1"/>
    <col min="4618" max="4618" width="8.85546875" style="1012" customWidth="1"/>
    <col min="4619" max="4619" width="8.42578125" style="1012" customWidth="1"/>
    <col min="4620" max="4620" width="9.7109375" style="1012" customWidth="1"/>
    <col min="4621" max="4621" width="10.42578125" style="1012" customWidth="1"/>
    <col min="4622" max="4622" width="9.5703125" style="1012" customWidth="1"/>
    <col min="4623" max="4623" width="9.85546875" style="1012" customWidth="1"/>
    <col min="4624" max="4624" width="8" style="1012" customWidth="1"/>
    <col min="4625" max="4625" width="8.140625" style="1012" customWidth="1"/>
    <col min="4626" max="4626" width="8.28515625" style="1012" customWidth="1"/>
    <col min="4627" max="4627" width="9.42578125" style="1012" customWidth="1"/>
    <col min="4628" max="4628" width="11.85546875" style="1012" customWidth="1"/>
    <col min="4629" max="4864" width="9.140625" style="1012"/>
    <col min="4865" max="4865" width="3.28515625" style="1012" customWidth="1"/>
    <col min="4866" max="4866" width="0.140625" style="1012" customWidth="1"/>
    <col min="4867" max="4867" width="7.42578125" style="1012" customWidth="1"/>
    <col min="4868" max="4868" width="1.28515625" style="1012" customWidth="1"/>
    <col min="4869" max="4869" width="6.5703125" style="1012" customWidth="1"/>
    <col min="4870" max="4870" width="17" style="1012" customWidth="1"/>
    <col min="4871" max="4871" width="7.7109375" style="1012" customWidth="1"/>
    <col min="4872" max="4872" width="11.85546875" style="1012" customWidth="1"/>
    <col min="4873" max="4873" width="8.28515625" style="1012" customWidth="1"/>
    <col min="4874" max="4874" width="8.85546875" style="1012" customWidth="1"/>
    <col min="4875" max="4875" width="8.42578125" style="1012" customWidth="1"/>
    <col min="4876" max="4876" width="9.7109375" style="1012" customWidth="1"/>
    <col min="4877" max="4877" width="10.42578125" style="1012" customWidth="1"/>
    <col min="4878" max="4878" width="9.5703125" style="1012" customWidth="1"/>
    <col min="4879" max="4879" width="9.85546875" style="1012" customWidth="1"/>
    <col min="4880" max="4880" width="8" style="1012" customWidth="1"/>
    <col min="4881" max="4881" width="8.140625" style="1012" customWidth="1"/>
    <col min="4882" max="4882" width="8.28515625" style="1012" customWidth="1"/>
    <col min="4883" max="4883" width="9.42578125" style="1012" customWidth="1"/>
    <col min="4884" max="4884" width="11.85546875" style="1012" customWidth="1"/>
    <col min="4885" max="5120" width="9.140625" style="1012"/>
    <col min="5121" max="5121" width="3.28515625" style="1012" customWidth="1"/>
    <col min="5122" max="5122" width="0.140625" style="1012" customWidth="1"/>
    <col min="5123" max="5123" width="7.42578125" style="1012" customWidth="1"/>
    <col min="5124" max="5124" width="1.28515625" style="1012" customWidth="1"/>
    <col min="5125" max="5125" width="6.5703125" style="1012" customWidth="1"/>
    <col min="5126" max="5126" width="17" style="1012" customWidth="1"/>
    <col min="5127" max="5127" width="7.7109375" style="1012" customWidth="1"/>
    <col min="5128" max="5128" width="11.85546875" style="1012" customWidth="1"/>
    <col min="5129" max="5129" width="8.28515625" style="1012" customWidth="1"/>
    <col min="5130" max="5130" width="8.85546875" style="1012" customWidth="1"/>
    <col min="5131" max="5131" width="8.42578125" style="1012" customWidth="1"/>
    <col min="5132" max="5132" width="9.7109375" style="1012" customWidth="1"/>
    <col min="5133" max="5133" width="10.42578125" style="1012" customWidth="1"/>
    <col min="5134" max="5134" width="9.5703125" style="1012" customWidth="1"/>
    <col min="5135" max="5135" width="9.85546875" style="1012" customWidth="1"/>
    <col min="5136" max="5136" width="8" style="1012" customWidth="1"/>
    <col min="5137" max="5137" width="8.140625" style="1012" customWidth="1"/>
    <col min="5138" max="5138" width="8.28515625" style="1012" customWidth="1"/>
    <col min="5139" max="5139" width="9.42578125" style="1012" customWidth="1"/>
    <col min="5140" max="5140" width="11.85546875" style="1012" customWidth="1"/>
    <col min="5141" max="5376" width="9.140625" style="1012"/>
    <col min="5377" max="5377" width="3.28515625" style="1012" customWidth="1"/>
    <col min="5378" max="5378" width="0.140625" style="1012" customWidth="1"/>
    <col min="5379" max="5379" width="7.42578125" style="1012" customWidth="1"/>
    <col min="5380" max="5380" width="1.28515625" style="1012" customWidth="1"/>
    <col min="5381" max="5381" width="6.5703125" style="1012" customWidth="1"/>
    <col min="5382" max="5382" width="17" style="1012" customWidth="1"/>
    <col min="5383" max="5383" width="7.7109375" style="1012" customWidth="1"/>
    <col min="5384" max="5384" width="11.85546875" style="1012" customWidth="1"/>
    <col min="5385" max="5385" width="8.28515625" style="1012" customWidth="1"/>
    <col min="5386" max="5386" width="8.85546875" style="1012" customWidth="1"/>
    <col min="5387" max="5387" width="8.42578125" style="1012" customWidth="1"/>
    <col min="5388" max="5388" width="9.7109375" style="1012" customWidth="1"/>
    <col min="5389" max="5389" width="10.42578125" style="1012" customWidth="1"/>
    <col min="5390" max="5390" width="9.5703125" style="1012" customWidth="1"/>
    <col min="5391" max="5391" width="9.85546875" style="1012" customWidth="1"/>
    <col min="5392" max="5392" width="8" style="1012" customWidth="1"/>
    <col min="5393" max="5393" width="8.140625" style="1012" customWidth="1"/>
    <col min="5394" max="5394" width="8.28515625" style="1012" customWidth="1"/>
    <col min="5395" max="5395" width="9.42578125" style="1012" customWidth="1"/>
    <col min="5396" max="5396" width="11.85546875" style="1012" customWidth="1"/>
    <col min="5397" max="5632" width="9.140625" style="1012"/>
    <col min="5633" max="5633" width="3.28515625" style="1012" customWidth="1"/>
    <col min="5634" max="5634" width="0.140625" style="1012" customWidth="1"/>
    <col min="5635" max="5635" width="7.42578125" style="1012" customWidth="1"/>
    <col min="5636" max="5636" width="1.28515625" style="1012" customWidth="1"/>
    <col min="5637" max="5637" width="6.5703125" style="1012" customWidth="1"/>
    <col min="5638" max="5638" width="17" style="1012" customWidth="1"/>
    <col min="5639" max="5639" width="7.7109375" style="1012" customWidth="1"/>
    <col min="5640" max="5640" width="11.85546875" style="1012" customWidth="1"/>
    <col min="5641" max="5641" width="8.28515625" style="1012" customWidth="1"/>
    <col min="5642" max="5642" width="8.85546875" style="1012" customWidth="1"/>
    <col min="5643" max="5643" width="8.42578125" style="1012" customWidth="1"/>
    <col min="5644" max="5644" width="9.7109375" style="1012" customWidth="1"/>
    <col min="5645" max="5645" width="10.42578125" style="1012" customWidth="1"/>
    <col min="5646" max="5646" width="9.5703125" style="1012" customWidth="1"/>
    <col min="5647" max="5647" width="9.85546875" style="1012" customWidth="1"/>
    <col min="5648" max="5648" width="8" style="1012" customWidth="1"/>
    <col min="5649" max="5649" width="8.140625" style="1012" customWidth="1"/>
    <col min="5650" max="5650" width="8.28515625" style="1012" customWidth="1"/>
    <col min="5651" max="5651" width="9.42578125" style="1012" customWidth="1"/>
    <col min="5652" max="5652" width="11.85546875" style="1012" customWidth="1"/>
    <col min="5653" max="5888" width="9.140625" style="1012"/>
    <col min="5889" max="5889" width="3.28515625" style="1012" customWidth="1"/>
    <col min="5890" max="5890" width="0.140625" style="1012" customWidth="1"/>
    <col min="5891" max="5891" width="7.42578125" style="1012" customWidth="1"/>
    <col min="5892" max="5892" width="1.28515625" style="1012" customWidth="1"/>
    <col min="5893" max="5893" width="6.5703125" style="1012" customWidth="1"/>
    <col min="5894" max="5894" width="17" style="1012" customWidth="1"/>
    <col min="5895" max="5895" width="7.7109375" style="1012" customWidth="1"/>
    <col min="5896" max="5896" width="11.85546875" style="1012" customWidth="1"/>
    <col min="5897" max="5897" width="8.28515625" style="1012" customWidth="1"/>
    <col min="5898" max="5898" width="8.85546875" style="1012" customWidth="1"/>
    <col min="5899" max="5899" width="8.42578125" style="1012" customWidth="1"/>
    <col min="5900" max="5900" width="9.7109375" style="1012" customWidth="1"/>
    <col min="5901" max="5901" width="10.42578125" style="1012" customWidth="1"/>
    <col min="5902" max="5902" width="9.5703125" style="1012" customWidth="1"/>
    <col min="5903" max="5903" width="9.85546875" style="1012" customWidth="1"/>
    <col min="5904" max="5904" width="8" style="1012" customWidth="1"/>
    <col min="5905" max="5905" width="8.140625" style="1012" customWidth="1"/>
    <col min="5906" max="5906" width="8.28515625" style="1012" customWidth="1"/>
    <col min="5907" max="5907" width="9.42578125" style="1012" customWidth="1"/>
    <col min="5908" max="5908" width="11.85546875" style="1012" customWidth="1"/>
    <col min="5909" max="6144" width="9.140625" style="1012"/>
    <col min="6145" max="6145" width="3.28515625" style="1012" customWidth="1"/>
    <col min="6146" max="6146" width="0.140625" style="1012" customWidth="1"/>
    <col min="6147" max="6147" width="7.42578125" style="1012" customWidth="1"/>
    <col min="6148" max="6148" width="1.28515625" style="1012" customWidth="1"/>
    <col min="6149" max="6149" width="6.5703125" style="1012" customWidth="1"/>
    <col min="6150" max="6150" width="17" style="1012" customWidth="1"/>
    <col min="6151" max="6151" width="7.7109375" style="1012" customWidth="1"/>
    <col min="6152" max="6152" width="11.85546875" style="1012" customWidth="1"/>
    <col min="6153" max="6153" width="8.28515625" style="1012" customWidth="1"/>
    <col min="6154" max="6154" width="8.85546875" style="1012" customWidth="1"/>
    <col min="6155" max="6155" width="8.42578125" style="1012" customWidth="1"/>
    <col min="6156" max="6156" width="9.7109375" style="1012" customWidth="1"/>
    <col min="6157" max="6157" width="10.42578125" style="1012" customWidth="1"/>
    <col min="6158" max="6158" width="9.5703125" style="1012" customWidth="1"/>
    <col min="6159" max="6159" width="9.85546875" style="1012" customWidth="1"/>
    <col min="6160" max="6160" width="8" style="1012" customWidth="1"/>
    <col min="6161" max="6161" width="8.140625" style="1012" customWidth="1"/>
    <col min="6162" max="6162" width="8.28515625" style="1012" customWidth="1"/>
    <col min="6163" max="6163" width="9.42578125" style="1012" customWidth="1"/>
    <col min="6164" max="6164" width="11.85546875" style="1012" customWidth="1"/>
    <col min="6165" max="6400" width="9.140625" style="1012"/>
    <col min="6401" max="6401" width="3.28515625" style="1012" customWidth="1"/>
    <col min="6402" max="6402" width="0.140625" style="1012" customWidth="1"/>
    <col min="6403" max="6403" width="7.42578125" style="1012" customWidth="1"/>
    <col min="6404" max="6404" width="1.28515625" style="1012" customWidth="1"/>
    <col min="6405" max="6405" width="6.5703125" style="1012" customWidth="1"/>
    <col min="6406" max="6406" width="17" style="1012" customWidth="1"/>
    <col min="6407" max="6407" width="7.7109375" style="1012" customWidth="1"/>
    <col min="6408" max="6408" width="11.85546875" style="1012" customWidth="1"/>
    <col min="6409" max="6409" width="8.28515625" style="1012" customWidth="1"/>
    <col min="6410" max="6410" width="8.85546875" style="1012" customWidth="1"/>
    <col min="6411" max="6411" width="8.42578125" style="1012" customWidth="1"/>
    <col min="6412" max="6412" width="9.7109375" style="1012" customWidth="1"/>
    <col min="6413" max="6413" width="10.42578125" style="1012" customWidth="1"/>
    <col min="6414" max="6414" width="9.5703125" style="1012" customWidth="1"/>
    <col min="6415" max="6415" width="9.85546875" style="1012" customWidth="1"/>
    <col min="6416" max="6416" width="8" style="1012" customWidth="1"/>
    <col min="6417" max="6417" width="8.140625" style="1012" customWidth="1"/>
    <col min="6418" max="6418" width="8.28515625" style="1012" customWidth="1"/>
    <col min="6419" max="6419" width="9.42578125" style="1012" customWidth="1"/>
    <col min="6420" max="6420" width="11.85546875" style="1012" customWidth="1"/>
    <col min="6421" max="6656" width="9.140625" style="1012"/>
    <col min="6657" max="6657" width="3.28515625" style="1012" customWidth="1"/>
    <col min="6658" max="6658" width="0.140625" style="1012" customWidth="1"/>
    <col min="6659" max="6659" width="7.42578125" style="1012" customWidth="1"/>
    <col min="6660" max="6660" width="1.28515625" style="1012" customWidth="1"/>
    <col min="6661" max="6661" width="6.5703125" style="1012" customWidth="1"/>
    <col min="6662" max="6662" width="17" style="1012" customWidth="1"/>
    <col min="6663" max="6663" width="7.7109375" style="1012" customWidth="1"/>
    <col min="6664" max="6664" width="11.85546875" style="1012" customWidth="1"/>
    <col min="6665" max="6665" width="8.28515625" style="1012" customWidth="1"/>
    <col min="6666" max="6666" width="8.85546875" style="1012" customWidth="1"/>
    <col min="6667" max="6667" width="8.42578125" style="1012" customWidth="1"/>
    <col min="6668" max="6668" width="9.7109375" style="1012" customWidth="1"/>
    <col min="6669" max="6669" width="10.42578125" style="1012" customWidth="1"/>
    <col min="6670" max="6670" width="9.5703125" style="1012" customWidth="1"/>
    <col min="6671" max="6671" width="9.85546875" style="1012" customWidth="1"/>
    <col min="6672" max="6672" width="8" style="1012" customWidth="1"/>
    <col min="6673" max="6673" width="8.140625" style="1012" customWidth="1"/>
    <col min="6674" max="6674" width="8.28515625" style="1012" customWidth="1"/>
    <col min="6675" max="6675" width="9.42578125" style="1012" customWidth="1"/>
    <col min="6676" max="6676" width="11.85546875" style="1012" customWidth="1"/>
    <col min="6677" max="6912" width="9.140625" style="1012"/>
    <col min="6913" max="6913" width="3.28515625" style="1012" customWidth="1"/>
    <col min="6914" max="6914" width="0.140625" style="1012" customWidth="1"/>
    <col min="6915" max="6915" width="7.42578125" style="1012" customWidth="1"/>
    <col min="6916" max="6916" width="1.28515625" style="1012" customWidth="1"/>
    <col min="6917" max="6917" width="6.5703125" style="1012" customWidth="1"/>
    <col min="6918" max="6918" width="17" style="1012" customWidth="1"/>
    <col min="6919" max="6919" width="7.7109375" style="1012" customWidth="1"/>
    <col min="6920" max="6920" width="11.85546875" style="1012" customWidth="1"/>
    <col min="6921" max="6921" width="8.28515625" style="1012" customWidth="1"/>
    <col min="6922" max="6922" width="8.85546875" style="1012" customWidth="1"/>
    <col min="6923" max="6923" width="8.42578125" style="1012" customWidth="1"/>
    <col min="6924" max="6924" width="9.7109375" style="1012" customWidth="1"/>
    <col min="6925" max="6925" width="10.42578125" style="1012" customWidth="1"/>
    <col min="6926" max="6926" width="9.5703125" style="1012" customWidth="1"/>
    <col min="6927" max="6927" width="9.85546875" style="1012" customWidth="1"/>
    <col min="6928" max="6928" width="8" style="1012" customWidth="1"/>
    <col min="6929" max="6929" width="8.140625" style="1012" customWidth="1"/>
    <col min="6930" max="6930" width="8.28515625" style="1012" customWidth="1"/>
    <col min="6931" max="6931" width="9.42578125" style="1012" customWidth="1"/>
    <col min="6932" max="6932" width="11.85546875" style="1012" customWidth="1"/>
    <col min="6933" max="7168" width="9.140625" style="1012"/>
    <col min="7169" max="7169" width="3.28515625" style="1012" customWidth="1"/>
    <col min="7170" max="7170" width="0.140625" style="1012" customWidth="1"/>
    <col min="7171" max="7171" width="7.42578125" style="1012" customWidth="1"/>
    <col min="7172" max="7172" width="1.28515625" style="1012" customWidth="1"/>
    <col min="7173" max="7173" width="6.5703125" style="1012" customWidth="1"/>
    <col min="7174" max="7174" width="17" style="1012" customWidth="1"/>
    <col min="7175" max="7175" width="7.7109375" style="1012" customWidth="1"/>
    <col min="7176" max="7176" width="11.85546875" style="1012" customWidth="1"/>
    <col min="7177" max="7177" width="8.28515625" style="1012" customWidth="1"/>
    <col min="7178" max="7178" width="8.85546875" style="1012" customWidth="1"/>
    <col min="7179" max="7179" width="8.42578125" style="1012" customWidth="1"/>
    <col min="7180" max="7180" width="9.7109375" style="1012" customWidth="1"/>
    <col min="7181" max="7181" width="10.42578125" style="1012" customWidth="1"/>
    <col min="7182" max="7182" width="9.5703125" style="1012" customWidth="1"/>
    <col min="7183" max="7183" width="9.85546875" style="1012" customWidth="1"/>
    <col min="7184" max="7184" width="8" style="1012" customWidth="1"/>
    <col min="7185" max="7185" width="8.140625" style="1012" customWidth="1"/>
    <col min="7186" max="7186" width="8.28515625" style="1012" customWidth="1"/>
    <col min="7187" max="7187" width="9.42578125" style="1012" customWidth="1"/>
    <col min="7188" max="7188" width="11.85546875" style="1012" customWidth="1"/>
    <col min="7189" max="7424" width="9.140625" style="1012"/>
    <col min="7425" max="7425" width="3.28515625" style="1012" customWidth="1"/>
    <col min="7426" max="7426" width="0.140625" style="1012" customWidth="1"/>
    <col min="7427" max="7427" width="7.42578125" style="1012" customWidth="1"/>
    <col min="7428" max="7428" width="1.28515625" style="1012" customWidth="1"/>
    <col min="7429" max="7429" width="6.5703125" style="1012" customWidth="1"/>
    <col min="7430" max="7430" width="17" style="1012" customWidth="1"/>
    <col min="7431" max="7431" width="7.7109375" style="1012" customWidth="1"/>
    <col min="7432" max="7432" width="11.85546875" style="1012" customWidth="1"/>
    <col min="7433" max="7433" width="8.28515625" style="1012" customWidth="1"/>
    <col min="7434" max="7434" width="8.85546875" style="1012" customWidth="1"/>
    <col min="7435" max="7435" width="8.42578125" style="1012" customWidth="1"/>
    <col min="7436" max="7436" width="9.7109375" style="1012" customWidth="1"/>
    <col min="7437" max="7437" width="10.42578125" style="1012" customWidth="1"/>
    <col min="7438" max="7438" width="9.5703125" style="1012" customWidth="1"/>
    <col min="7439" max="7439" width="9.85546875" style="1012" customWidth="1"/>
    <col min="7440" max="7440" width="8" style="1012" customWidth="1"/>
    <col min="7441" max="7441" width="8.140625" style="1012" customWidth="1"/>
    <col min="7442" max="7442" width="8.28515625" style="1012" customWidth="1"/>
    <col min="7443" max="7443" width="9.42578125" style="1012" customWidth="1"/>
    <col min="7444" max="7444" width="11.85546875" style="1012" customWidth="1"/>
    <col min="7445" max="7680" width="9.140625" style="1012"/>
    <col min="7681" max="7681" width="3.28515625" style="1012" customWidth="1"/>
    <col min="7682" max="7682" width="0.140625" style="1012" customWidth="1"/>
    <col min="7683" max="7683" width="7.42578125" style="1012" customWidth="1"/>
    <col min="7684" max="7684" width="1.28515625" style="1012" customWidth="1"/>
    <col min="7685" max="7685" width="6.5703125" style="1012" customWidth="1"/>
    <col min="7686" max="7686" width="17" style="1012" customWidth="1"/>
    <col min="7687" max="7687" width="7.7109375" style="1012" customWidth="1"/>
    <col min="7688" max="7688" width="11.85546875" style="1012" customWidth="1"/>
    <col min="7689" max="7689" width="8.28515625" style="1012" customWidth="1"/>
    <col min="7690" max="7690" width="8.85546875" style="1012" customWidth="1"/>
    <col min="7691" max="7691" width="8.42578125" style="1012" customWidth="1"/>
    <col min="7692" max="7692" width="9.7109375" style="1012" customWidth="1"/>
    <col min="7693" max="7693" width="10.42578125" style="1012" customWidth="1"/>
    <col min="7694" max="7694" width="9.5703125" style="1012" customWidth="1"/>
    <col min="7695" max="7695" width="9.85546875" style="1012" customWidth="1"/>
    <col min="7696" max="7696" width="8" style="1012" customWidth="1"/>
    <col min="7697" max="7697" width="8.140625" style="1012" customWidth="1"/>
    <col min="7698" max="7698" width="8.28515625" style="1012" customWidth="1"/>
    <col min="7699" max="7699" width="9.42578125" style="1012" customWidth="1"/>
    <col min="7700" max="7700" width="11.85546875" style="1012" customWidth="1"/>
    <col min="7701" max="7936" width="9.140625" style="1012"/>
    <col min="7937" max="7937" width="3.28515625" style="1012" customWidth="1"/>
    <col min="7938" max="7938" width="0.140625" style="1012" customWidth="1"/>
    <col min="7939" max="7939" width="7.42578125" style="1012" customWidth="1"/>
    <col min="7940" max="7940" width="1.28515625" style="1012" customWidth="1"/>
    <col min="7941" max="7941" width="6.5703125" style="1012" customWidth="1"/>
    <col min="7942" max="7942" width="17" style="1012" customWidth="1"/>
    <col min="7943" max="7943" width="7.7109375" style="1012" customWidth="1"/>
    <col min="7944" max="7944" width="11.85546875" style="1012" customWidth="1"/>
    <col min="7945" max="7945" width="8.28515625" style="1012" customWidth="1"/>
    <col min="7946" max="7946" width="8.85546875" style="1012" customWidth="1"/>
    <col min="7947" max="7947" width="8.42578125" style="1012" customWidth="1"/>
    <col min="7948" max="7948" width="9.7109375" style="1012" customWidth="1"/>
    <col min="7949" max="7949" width="10.42578125" style="1012" customWidth="1"/>
    <col min="7950" max="7950" width="9.5703125" style="1012" customWidth="1"/>
    <col min="7951" max="7951" width="9.85546875" style="1012" customWidth="1"/>
    <col min="7952" max="7952" width="8" style="1012" customWidth="1"/>
    <col min="7953" max="7953" width="8.140625" style="1012" customWidth="1"/>
    <col min="7954" max="7954" width="8.28515625" style="1012" customWidth="1"/>
    <col min="7955" max="7955" width="9.42578125" style="1012" customWidth="1"/>
    <col min="7956" max="7956" width="11.85546875" style="1012" customWidth="1"/>
    <col min="7957" max="8192" width="9.140625" style="1012"/>
    <col min="8193" max="8193" width="3.28515625" style="1012" customWidth="1"/>
    <col min="8194" max="8194" width="0.140625" style="1012" customWidth="1"/>
    <col min="8195" max="8195" width="7.42578125" style="1012" customWidth="1"/>
    <col min="8196" max="8196" width="1.28515625" style="1012" customWidth="1"/>
    <col min="8197" max="8197" width="6.5703125" style="1012" customWidth="1"/>
    <col min="8198" max="8198" width="17" style="1012" customWidth="1"/>
    <col min="8199" max="8199" width="7.7109375" style="1012" customWidth="1"/>
    <col min="8200" max="8200" width="11.85546875" style="1012" customWidth="1"/>
    <col min="8201" max="8201" width="8.28515625" style="1012" customWidth="1"/>
    <col min="8202" max="8202" width="8.85546875" style="1012" customWidth="1"/>
    <col min="8203" max="8203" width="8.42578125" style="1012" customWidth="1"/>
    <col min="8204" max="8204" width="9.7109375" style="1012" customWidth="1"/>
    <col min="8205" max="8205" width="10.42578125" style="1012" customWidth="1"/>
    <col min="8206" max="8206" width="9.5703125" style="1012" customWidth="1"/>
    <col min="8207" max="8207" width="9.85546875" style="1012" customWidth="1"/>
    <col min="8208" max="8208" width="8" style="1012" customWidth="1"/>
    <col min="8209" max="8209" width="8.140625" style="1012" customWidth="1"/>
    <col min="8210" max="8210" width="8.28515625" style="1012" customWidth="1"/>
    <col min="8211" max="8211" width="9.42578125" style="1012" customWidth="1"/>
    <col min="8212" max="8212" width="11.85546875" style="1012" customWidth="1"/>
    <col min="8213" max="8448" width="9.140625" style="1012"/>
    <col min="8449" max="8449" width="3.28515625" style="1012" customWidth="1"/>
    <col min="8450" max="8450" width="0.140625" style="1012" customWidth="1"/>
    <col min="8451" max="8451" width="7.42578125" style="1012" customWidth="1"/>
    <col min="8452" max="8452" width="1.28515625" style="1012" customWidth="1"/>
    <col min="8453" max="8453" width="6.5703125" style="1012" customWidth="1"/>
    <col min="8454" max="8454" width="17" style="1012" customWidth="1"/>
    <col min="8455" max="8455" width="7.7109375" style="1012" customWidth="1"/>
    <col min="8456" max="8456" width="11.85546875" style="1012" customWidth="1"/>
    <col min="8457" max="8457" width="8.28515625" style="1012" customWidth="1"/>
    <col min="8458" max="8458" width="8.85546875" style="1012" customWidth="1"/>
    <col min="8459" max="8459" width="8.42578125" style="1012" customWidth="1"/>
    <col min="8460" max="8460" width="9.7109375" style="1012" customWidth="1"/>
    <col min="8461" max="8461" width="10.42578125" style="1012" customWidth="1"/>
    <col min="8462" max="8462" width="9.5703125" style="1012" customWidth="1"/>
    <col min="8463" max="8463" width="9.85546875" style="1012" customWidth="1"/>
    <col min="8464" max="8464" width="8" style="1012" customWidth="1"/>
    <col min="8465" max="8465" width="8.140625" style="1012" customWidth="1"/>
    <col min="8466" max="8466" width="8.28515625" style="1012" customWidth="1"/>
    <col min="8467" max="8467" width="9.42578125" style="1012" customWidth="1"/>
    <col min="8468" max="8468" width="11.85546875" style="1012" customWidth="1"/>
    <col min="8469" max="8704" width="9.140625" style="1012"/>
    <col min="8705" max="8705" width="3.28515625" style="1012" customWidth="1"/>
    <col min="8706" max="8706" width="0.140625" style="1012" customWidth="1"/>
    <col min="8707" max="8707" width="7.42578125" style="1012" customWidth="1"/>
    <col min="8708" max="8708" width="1.28515625" style="1012" customWidth="1"/>
    <col min="8709" max="8709" width="6.5703125" style="1012" customWidth="1"/>
    <col min="8710" max="8710" width="17" style="1012" customWidth="1"/>
    <col min="8711" max="8711" width="7.7109375" style="1012" customWidth="1"/>
    <col min="8712" max="8712" width="11.85546875" style="1012" customWidth="1"/>
    <col min="8713" max="8713" width="8.28515625" style="1012" customWidth="1"/>
    <col min="8714" max="8714" width="8.85546875" style="1012" customWidth="1"/>
    <col min="8715" max="8715" width="8.42578125" style="1012" customWidth="1"/>
    <col min="8716" max="8716" width="9.7109375" style="1012" customWidth="1"/>
    <col min="8717" max="8717" width="10.42578125" style="1012" customWidth="1"/>
    <col min="8718" max="8718" width="9.5703125" style="1012" customWidth="1"/>
    <col min="8719" max="8719" width="9.85546875" style="1012" customWidth="1"/>
    <col min="8720" max="8720" width="8" style="1012" customWidth="1"/>
    <col min="8721" max="8721" width="8.140625" style="1012" customWidth="1"/>
    <col min="8722" max="8722" width="8.28515625" style="1012" customWidth="1"/>
    <col min="8723" max="8723" width="9.42578125" style="1012" customWidth="1"/>
    <col min="8724" max="8724" width="11.85546875" style="1012" customWidth="1"/>
    <col min="8725" max="8960" width="9.140625" style="1012"/>
    <col min="8961" max="8961" width="3.28515625" style="1012" customWidth="1"/>
    <col min="8962" max="8962" width="0.140625" style="1012" customWidth="1"/>
    <col min="8963" max="8963" width="7.42578125" style="1012" customWidth="1"/>
    <col min="8964" max="8964" width="1.28515625" style="1012" customWidth="1"/>
    <col min="8965" max="8965" width="6.5703125" style="1012" customWidth="1"/>
    <col min="8966" max="8966" width="17" style="1012" customWidth="1"/>
    <col min="8967" max="8967" width="7.7109375" style="1012" customWidth="1"/>
    <col min="8968" max="8968" width="11.85546875" style="1012" customWidth="1"/>
    <col min="8969" max="8969" width="8.28515625" style="1012" customWidth="1"/>
    <col min="8970" max="8970" width="8.85546875" style="1012" customWidth="1"/>
    <col min="8971" max="8971" width="8.42578125" style="1012" customWidth="1"/>
    <col min="8972" max="8972" width="9.7109375" style="1012" customWidth="1"/>
    <col min="8973" max="8973" width="10.42578125" style="1012" customWidth="1"/>
    <col min="8974" max="8974" width="9.5703125" style="1012" customWidth="1"/>
    <col min="8975" max="8975" width="9.85546875" style="1012" customWidth="1"/>
    <col min="8976" max="8976" width="8" style="1012" customWidth="1"/>
    <col min="8977" max="8977" width="8.140625" style="1012" customWidth="1"/>
    <col min="8978" max="8978" width="8.28515625" style="1012" customWidth="1"/>
    <col min="8979" max="8979" width="9.42578125" style="1012" customWidth="1"/>
    <col min="8980" max="8980" width="11.85546875" style="1012" customWidth="1"/>
    <col min="8981" max="9216" width="9.140625" style="1012"/>
    <col min="9217" max="9217" width="3.28515625" style="1012" customWidth="1"/>
    <col min="9218" max="9218" width="0.140625" style="1012" customWidth="1"/>
    <col min="9219" max="9219" width="7.42578125" style="1012" customWidth="1"/>
    <col min="9220" max="9220" width="1.28515625" style="1012" customWidth="1"/>
    <col min="9221" max="9221" width="6.5703125" style="1012" customWidth="1"/>
    <col min="9222" max="9222" width="17" style="1012" customWidth="1"/>
    <col min="9223" max="9223" width="7.7109375" style="1012" customWidth="1"/>
    <col min="9224" max="9224" width="11.85546875" style="1012" customWidth="1"/>
    <col min="9225" max="9225" width="8.28515625" style="1012" customWidth="1"/>
    <col min="9226" max="9226" width="8.85546875" style="1012" customWidth="1"/>
    <col min="9227" max="9227" width="8.42578125" style="1012" customWidth="1"/>
    <col min="9228" max="9228" width="9.7109375" style="1012" customWidth="1"/>
    <col min="9229" max="9229" width="10.42578125" style="1012" customWidth="1"/>
    <col min="9230" max="9230" width="9.5703125" style="1012" customWidth="1"/>
    <col min="9231" max="9231" width="9.85546875" style="1012" customWidth="1"/>
    <col min="9232" max="9232" width="8" style="1012" customWidth="1"/>
    <col min="9233" max="9233" width="8.140625" style="1012" customWidth="1"/>
    <col min="9234" max="9234" width="8.28515625" style="1012" customWidth="1"/>
    <col min="9235" max="9235" width="9.42578125" style="1012" customWidth="1"/>
    <col min="9236" max="9236" width="11.85546875" style="1012" customWidth="1"/>
    <col min="9237" max="9472" width="9.140625" style="1012"/>
    <col min="9473" max="9473" width="3.28515625" style="1012" customWidth="1"/>
    <col min="9474" max="9474" width="0.140625" style="1012" customWidth="1"/>
    <col min="9475" max="9475" width="7.42578125" style="1012" customWidth="1"/>
    <col min="9476" max="9476" width="1.28515625" style="1012" customWidth="1"/>
    <col min="9477" max="9477" width="6.5703125" style="1012" customWidth="1"/>
    <col min="9478" max="9478" width="17" style="1012" customWidth="1"/>
    <col min="9479" max="9479" width="7.7109375" style="1012" customWidth="1"/>
    <col min="9480" max="9480" width="11.85546875" style="1012" customWidth="1"/>
    <col min="9481" max="9481" width="8.28515625" style="1012" customWidth="1"/>
    <col min="9482" max="9482" width="8.85546875" style="1012" customWidth="1"/>
    <col min="9483" max="9483" width="8.42578125" style="1012" customWidth="1"/>
    <col min="9484" max="9484" width="9.7109375" style="1012" customWidth="1"/>
    <col min="9485" max="9485" width="10.42578125" style="1012" customWidth="1"/>
    <col min="9486" max="9486" width="9.5703125" style="1012" customWidth="1"/>
    <col min="9487" max="9487" width="9.85546875" style="1012" customWidth="1"/>
    <col min="9488" max="9488" width="8" style="1012" customWidth="1"/>
    <col min="9489" max="9489" width="8.140625" style="1012" customWidth="1"/>
    <col min="9490" max="9490" width="8.28515625" style="1012" customWidth="1"/>
    <col min="9491" max="9491" width="9.42578125" style="1012" customWidth="1"/>
    <col min="9492" max="9492" width="11.85546875" style="1012" customWidth="1"/>
    <col min="9493" max="9728" width="9.140625" style="1012"/>
    <col min="9729" max="9729" width="3.28515625" style="1012" customWidth="1"/>
    <col min="9730" max="9730" width="0.140625" style="1012" customWidth="1"/>
    <col min="9731" max="9731" width="7.42578125" style="1012" customWidth="1"/>
    <col min="9732" max="9732" width="1.28515625" style="1012" customWidth="1"/>
    <col min="9733" max="9733" width="6.5703125" style="1012" customWidth="1"/>
    <col min="9734" max="9734" width="17" style="1012" customWidth="1"/>
    <col min="9735" max="9735" width="7.7109375" style="1012" customWidth="1"/>
    <col min="9736" max="9736" width="11.85546875" style="1012" customWidth="1"/>
    <col min="9737" max="9737" width="8.28515625" style="1012" customWidth="1"/>
    <col min="9738" max="9738" width="8.85546875" style="1012" customWidth="1"/>
    <col min="9739" max="9739" width="8.42578125" style="1012" customWidth="1"/>
    <col min="9740" max="9740" width="9.7109375" style="1012" customWidth="1"/>
    <col min="9741" max="9741" width="10.42578125" style="1012" customWidth="1"/>
    <col min="9742" max="9742" width="9.5703125" style="1012" customWidth="1"/>
    <col min="9743" max="9743" width="9.85546875" style="1012" customWidth="1"/>
    <col min="9744" max="9744" width="8" style="1012" customWidth="1"/>
    <col min="9745" max="9745" width="8.140625" style="1012" customWidth="1"/>
    <col min="9746" max="9746" width="8.28515625" style="1012" customWidth="1"/>
    <col min="9747" max="9747" width="9.42578125" style="1012" customWidth="1"/>
    <col min="9748" max="9748" width="11.85546875" style="1012" customWidth="1"/>
    <col min="9749" max="9984" width="9.140625" style="1012"/>
    <col min="9985" max="9985" width="3.28515625" style="1012" customWidth="1"/>
    <col min="9986" max="9986" width="0.140625" style="1012" customWidth="1"/>
    <col min="9987" max="9987" width="7.42578125" style="1012" customWidth="1"/>
    <col min="9988" max="9988" width="1.28515625" style="1012" customWidth="1"/>
    <col min="9989" max="9989" width="6.5703125" style="1012" customWidth="1"/>
    <col min="9990" max="9990" width="17" style="1012" customWidth="1"/>
    <col min="9991" max="9991" width="7.7109375" style="1012" customWidth="1"/>
    <col min="9992" max="9992" width="11.85546875" style="1012" customWidth="1"/>
    <col min="9993" max="9993" width="8.28515625" style="1012" customWidth="1"/>
    <col min="9994" max="9994" width="8.85546875" style="1012" customWidth="1"/>
    <col min="9995" max="9995" width="8.42578125" style="1012" customWidth="1"/>
    <col min="9996" max="9996" width="9.7109375" style="1012" customWidth="1"/>
    <col min="9997" max="9997" width="10.42578125" style="1012" customWidth="1"/>
    <col min="9998" max="9998" width="9.5703125" style="1012" customWidth="1"/>
    <col min="9999" max="9999" width="9.85546875" style="1012" customWidth="1"/>
    <col min="10000" max="10000" width="8" style="1012" customWidth="1"/>
    <col min="10001" max="10001" width="8.140625" style="1012" customWidth="1"/>
    <col min="10002" max="10002" width="8.28515625" style="1012" customWidth="1"/>
    <col min="10003" max="10003" width="9.42578125" style="1012" customWidth="1"/>
    <col min="10004" max="10004" width="11.85546875" style="1012" customWidth="1"/>
    <col min="10005" max="10240" width="9.140625" style="1012"/>
    <col min="10241" max="10241" width="3.28515625" style="1012" customWidth="1"/>
    <col min="10242" max="10242" width="0.140625" style="1012" customWidth="1"/>
    <col min="10243" max="10243" width="7.42578125" style="1012" customWidth="1"/>
    <col min="10244" max="10244" width="1.28515625" style="1012" customWidth="1"/>
    <col min="10245" max="10245" width="6.5703125" style="1012" customWidth="1"/>
    <col min="10246" max="10246" width="17" style="1012" customWidth="1"/>
    <col min="10247" max="10247" width="7.7109375" style="1012" customWidth="1"/>
    <col min="10248" max="10248" width="11.85546875" style="1012" customWidth="1"/>
    <col min="10249" max="10249" width="8.28515625" style="1012" customWidth="1"/>
    <col min="10250" max="10250" width="8.85546875" style="1012" customWidth="1"/>
    <col min="10251" max="10251" width="8.42578125" style="1012" customWidth="1"/>
    <col min="10252" max="10252" width="9.7109375" style="1012" customWidth="1"/>
    <col min="10253" max="10253" width="10.42578125" style="1012" customWidth="1"/>
    <col min="10254" max="10254" width="9.5703125" style="1012" customWidth="1"/>
    <col min="10255" max="10255" width="9.85546875" style="1012" customWidth="1"/>
    <col min="10256" max="10256" width="8" style="1012" customWidth="1"/>
    <col min="10257" max="10257" width="8.140625" style="1012" customWidth="1"/>
    <col min="10258" max="10258" width="8.28515625" style="1012" customWidth="1"/>
    <col min="10259" max="10259" width="9.42578125" style="1012" customWidth="1"/>
    <col min="10260" max="10260" width="11.85546875" style="1012" customWidth="1"/>
    <col min="10261" max="10496" width="9.140625" style="1012"/>
    <col min="10497" max="10497" width="3.28515625" style="1012" customWidth="1"/>
    <col min="10498" max="10498" width="0.140625" style="1012" customWidth="1"/>
    <col min="10499" max="10499" width="7.42578125" style="1012" customWidth="1"/>
    <col min="10500" max="10500" width="1.28515625" style="1012" customWidth="1"/>
    <col min="10501" max="10501" width="6.5703125" style="1012" customWidth="1"/>
    <col min="10502" max="10502" width="17" style="1012" customWidth="1"/>
    <col min="10503" max="10503" width="7.7109375" style="1012" customWidth="1"/>
    <col min="10504" max="10504" width="11.85546875" style="1012" customWidth="1"/>
    <col min="10505" max="10505" width="8.28515625" style="1012" customWidth="1"/>
    <col min="10506" max="10506" width="8.85546875" style="1012" customWidth="1"/>
    <col min="10507" max="10507" width="8.42578125" style="1012" customWidth="1"/>
    <col min="10508" max="10508" width="9.7109375" style="1012" customWidth="1"/>
    <col min="10509" max="10509" width="10.42578125" style="1012" customWidth="1"/>
    <col min="10510" max="10510" width="9.5703125" style="1012" customWidth="1"/>
    <col min="10511" max="10511" width="9.85546875" style="1012" customWidth="1"/>
    <col min="10512" max="10512" width="8" style="1012" customWidth="1"/>
    <col min="10513" max="10513" width="8.140625" style="1012" customWidth="1"/>
    <col min="10514" max="10514" width="8.28515625" style="1012" customWidth="1"/>
    <col min="10515" max="10515" width="9.42578125" style="1012" customWidth="1"/>
    <col min="10516" max="10516" width="11.85546875" style="1012" customWidth="1"/>
    <col min="10517" max="10752" width="9.140625" style="1012"/>
    <col min="10753" max="10753" width="3.28515625" style="1012" customWidth="1"/>
    <col min="10754" max="10754" width="0.140625" style="1012" customWidth="1"/>
    <col min="10755" max="10755" width="7.42578125" style="1012" customWidth="1"/>
    <col min="10756" max="10756" width="1.28515625" style="1012" customWidth="1"/>
    <col min="10757" max="10757" width="6.5703125" style="1012" customWidth="1"/>
    <col min="10758" max="10758" width="17" style="1012" customWidth="1"/>
    <col min="10759" max="10759" width="7.7109375" style="1012" customWidth="1"/>
    <col min="10760" max="10760" width="11.85546875" style="1012" customWidth="1"/>
    <col min="10761" max="10761" width="8.28515625" style="1012" customWidth="1"/>
    <col min="10762" max="10762" width="8.85546875" style="1012" customWidth="1"/>
    <col min="10763" max="10763" width="8.42578125" style="1012" customWidth="1"/>
    <col min="10764" max="10764" width="9.7109375" style="1012" customWidth="1"/>
    <col min="10765" max="10765" width="10.42578125" style="1012" customWidth="1"/>
    <col min="10766" max="10766" width="9.5703125" style="1012" customWidth="1"/>
    <col min="10767" max="10767" width="9.85546875" style="1012" customWidth="1"/>
    <col min="10768" max="10768" width="8" style="1012" customWidth="1"/>
    <col min="10769" max="10769" width="8.140625" style="1012" customWidth="1"/>
    <col min="10770" max="10770" width="8.28515625" style="1012" customWidth="1"/>
    <col min="10771" max="10771" width="9.42578125" style="1012" customWidth="1"/>
    <col min="10772" max="10772" width="11.85546875" style="1012" customWidth="1"/>
    <col min="10773" max="11008" width="9.140625" style="1012"/>
    <col min="11009" max="11009" width="3.28515625" style="1012" customWidth="1"/>
    <col min="11010" max="11010" width="0.140625" style="1012" customWidth="1"/>
    <col min="11011" max="11011" width="7.42578125" style="1012" customWidth="1"/>
    <col min="11012" max="11012" width="1.28515625" style="1012" customWidth="1"/>
    <col min="11013" max="11013" width="6.5703125" style="1012" customWidth="1"/>
    <col min="11014" max="11014" width="17" style="1012" customWidth="1"/>
    <col min="11015" max="11015" width="7.7109375" style="1012" customWidth="1"/>
    <col min="11016" max="11016" width="11.85546875" style="1012" customWidth="1"/>
    <col min="11017" max="11017" width="8.28515625" style="1012" customWidth="1"/>
    <col min="11018" max="11018" width="8.85546875" style="1012" customWidth="1"/>
    <col min="11019" max="11019" width="8.42578125" style="1012" customWidth="1"/>
    <col min="11020" max="11020" width="9.7109375" style="1012" customWidth="1"/>
    <col min="11021" max="11021" width="10.42578125" style="1012" customWidth="1"/>
    <col min="11022" max="11022" width="9.5703125" style="1012" customWidth="1"/>
    <col min="11023" max="11023" width="9.85546875" style="1012" customWidth="1"/>
    <col min="11024" max="11024" width="8" style="1012" customWidth="1"/>
    <col min="11025" max="11025" width="8.140625" style="1012" customWidth="1"/>
    <col min="11026" max="11026" width="8.28515625" style="1012" customWidth="1"/>
    <col min="11027" max="11027" width="9.42578125" style="1012" customWidth="1"/>
    <col min="11028" max="11028" width="11.85546875" style="1012" customWidth="1"/>
    <col min="11029" max="11264" width="9.140625" style="1012"/>
    <col min="11265" max="11265" width="3.28515625" style="1012" customWidth="1"/>
    <col min="11266" max="11266" width="0.140625" style="1012" customWidth="1"/>
    <col min="11267" max="11267" width="7.42578125" style="1012" customWidth="1"/>
    <col min="11268" max="11268" width="1.28515625" style="1012" customWidth="1"/>
    <col min="11269" max="11269" width="6.5703125" style="1012" customWidth="1"/>
    <col min="11270" max="11270" width="17" style="1012" customWidth="1"/>
    <col min="11271" max="11271" width="7.7109375" style="1012" customWidth="1"/>
    <col min="11272" max="11272" width="11.85546875" style="1012" customWidth="1"/>
    <col min="11273" max="11273" width="8.28515625" style="1012" customWidth="1"/>
    <col min="11274" max="11274" width="8.85546875" style="1012" customWidth="1"/>
    <col min="11275" max="11275" width="8.42578125" style="1012" customWidth="1"/>
    <col min="11276" max="11276" width="9.7109375" style="1012" customWidth="1"/>
    <col min="11277" max="11277" width="10.42578125" style="1012" customWidth="1"/>
    <col min="11278" max="11278" width="9.5703125" style="1012" customWidth="1"/>
    <col min="11279" max="11279" width="9.85546875" style="1012" customWidth="1"/>
    <col min="11280" max="11280" width="8" style="1012" customWidth="1"/>
    <col min="11281" max="11281" width="8.140625" style="1012" customWidth="1"/>
    <col min="11282" max="11282" width="8.28515625" style="1012" customWidth="1"/>
    <col min="11283" max="11283" width="9.42578125" style="1012" customWidth="1"/>
    <col min="11284" max="11284" width="11.85546875" style="1012" customWidth="1"/>
    <col min="11285" max="11520" width="9.140625" style="1012"/>
    <col min="11521" max="11521" width="3.28515625" style="1012" customWidth="1"/>
    <col min="11522" max="11522" width="0.140625" style="1012" customWidth="1"/>
    <col min="11523" max="11523" width="7.42578125" style="1012" customWidth="1"/>
    <col min="11524" max="11524" width="1.28515625" style="1012" customWidth="1"/>
    <col min="11525" max="11525" width="6.5703125" style="1012" customWidth="1"/>
    <col min="11526" max="11526" width="17" style="1012" customWidth="1"/>
    <col min="11527" max="11527" width="7.7109375" style="1012" customWidth="1"/>
    <col min="11528" max="11528" width="11.85546875" style="1012" customWidth="1"/>
    <col min="11529" max="11529" width="8.28515625" style="1012" customWidth="1"/>
    <col min="11530" max="11530" width="8.85546875" style="1012" customWidth="1"/>
    <col min="11531" max="11531" width="8.42578125" style="1012" customWidth="1"/>
    <col min="11532" max="11532" width="9.7109375" style="1012" customWidth="1"/>
    <col min="11533" max="11533" width="10.42578125" style="1012" customWidth="1"/>
    <col min="11534" max="11534" width="9.5703125" style="1012" customWidth="1"/>
    <col min="11535" max="11535" width="9.85546875" style="1012" customWidth="1"/>
    <col min="11536" max="11536" width="8" style="1012" customWidth="1"/>
    <col min="11537" max="11537" width="8.140625" style="1012" customWidth="1"/>
    <col min="11538" max="11538" width="8.28515625" style="1012" customWidth="1"/>
    <col min="11539" max="11539" width="9.42578125" style="1012" customWidth="1"/>
    <col min="11540" max="11540" width="11.85546875" style="1012" customWidth="1"/>
    <col min="11541" max="11776" width="9.140625" style="1012"/>
    <col min="11777" max="11777" width="3.28515625" style="1012" customWidth="1"/>
    <col min="11778" max="11778" width="0.140625" style="1012" customWidth="1"/>
    <col min="11779" max="11779" width="7.42578125" style="1012" customWidth="1"/>
    <col min="11780" max="11780" width="1.28515625" style="1012" customWidth="1"/>
    <col min="11781" max="11781" width="6.5703125" style="1012" customWidth="1"/>
    <col min="11782" max="11782" width="17" style="1012" customWidth="1"/>
    <col min="11783" max="11783" width="7.7109375" style="1012" customWidth="1"/>
    <col min="11784" max="11784" width="11.85546875" style="1012" customWidth="1"/>
    <col min="11785" max="11785" width="8.28515625" style="1012" customWidth="1"/>
    <col min="11786" max="11786" width="8.85546875" style="1012" customWidth="1"/>
    <col min="11787" max="11787" width="8.42578125" style="1012" customWidth="1"/>
    <col min="11788" max="11788" width="9.7109375" style="1012" customWidth="1"/>
    <col min="11789" max="11789" width="10.42578125" style="1012" customWidth="1"/>
    <col min="11790" max="11790" width="9.5703125" style="1012" customWidth="1"/>
    <col min="11791" max="11791" width="9.85546875" style="1012" customWidth="1"/>
    <col min="11792" max="11792" width="8" style="1012" customWidth="1"/>
    <col min="11793" max="11793" width="8.140625" style="1012" customWidth="1"/>
    <col min="11794" max="11794" width="8.28515625" style="1012" customWidth="1"/>
    <col min="11795" max="11795" width="9.42578125" style="1012" customWidth="1"/>
    <col min="11796" max="11796" width="11.85546875" style="1012" customWidth="1"/>
    <col min="11797" max="12032" width="9.140625" style="1012"/>
    <col min="12033" max="12033" width="3.28515625" style="1012" customWidth="1"/>
    <col min="12034" max="12034" width="0.140625" style="1012" customWidth="1"/>
    <col min="12035" max="12035" width="7.42578125" style="1012" customWidth="1"/>
    <col min="12036" max="12036" width="1.28515625" style="1012" customWidth="1"/>
    <col min="12037" max="12037" width="6.5703125" style="1012" customWidth="1"/>
    <col min="12038" max="12038" width="17" style="1012" customWidth="1"/>
    <col min="12039" max="12039" width="7.7109375" style="1012" customWidth="1"/>
    <col min="12040" max="12040" width="11.85546875" style="1012" customWidth="1"/>
    <col min="12041" max="12041" width="8.28515625" style="1012" customWidth="1"/>
    <col min="12042" max="12042" width="8.85546875" style="1012" customWidth="1"/>
    <col min="12043" max="12043" width="8.42578125" style="1012" customWidth="1"/>
    <col min="12044" max="12044" width="9.7109375" style="1012" customWidth="1"/>
    <col min="12045" max="12045" width="10.42578125" style="1012" customWidth="1"/>
    <col min="12046" max="12046" width="9.5703125" style="1012" customWidth="1"/>
    <col min="12047" max="12047" width="9.85546875" style="1012" customWidth="1"/>
    <col min="12048" max="12048" width="8" style="1012" customWidth="1"/>
    <col min="12049" max="12049" width="8.140625" style="1012" customWidth="1"/>
    <col min="12050" max="12050" width="8.28515625" style="1012" customWidth="1"/>
    <col min="12051" max="12051" width="9.42578125" style="1012" customWidth="1"/>
    <col min="12052" max="12052" width="11.85546875" style="1012" customWidth="1"/>
    <col min="12053" max="12288" width="9.140625" style="1012"/>
    <col min="12289" max="12289" width="3.28515625" style="1012" customWidth="1"/>
    <col min="12290" max="12290" width="0.140625" style="1012" customWidth="1"/>
    <col min="12291" max="12291" width="7.42578125" style="1012" customWidth="1"/>
    <col min="12292" max="12292" width="1.28515625" style="1012" customWidth="1"/>
    <col min="12293" max="12293" width="6.5703125" style="1012" customWidth="1"/>
    <col min="12294" max="12294" width="17" style="1012" customWidth="1"/>
    <col min="12295" max="12295" width="7.7109375" style="1012" customWidth="1"/>
    <col min="12296" max="12296" width="11.85546875" style="1012" customWidth="1"/>
    <col min="12297" max="12297" width="8.28515625" style="1012" customWidth="1"/>
    <col min="12298" max="12298" width="8.85546875" style="1012" customWidth="1"/>
    <col min="12299" max="12299" width="8.42578125" style="1012" customWidth="1"/>
    <col min="12300" max="12300" width="9.7109375" style="1012" customWidth="1"/>
    <col min="12301" max="12301" width="10.42578125" style="1012" customWidth="1"/>
    <col min="12302" max="12302" width="9.5703125" style="1012" customWidth="1"/>
    <col min="12303" max="12303" width="9.85546875" style="1012" customWidth="1"/>
    <col min="12304" max="12304" width="8" style="1012" customWidth="1"/>
    <col min="12305" max="12305" width="8.140625" style="1012" customWidth="1"/>
    <col min="12306" max="12306" width="8.28515625" style="1012" customWidth="1"/>
    <col min="12307" max="12307" width="9.42578125" style="1012" customWidth="1"/>
    <col min="12308" max="12308" width="11.85546875" style="1012" customWidth="1"/>
    <col min="12309" max="12544" width="9.140625" style="1012"/>
    <col min="12545" max="12545" width="3.28515625" style="1012" customWidth="1"/>
    <col min="12546" max="12546" width="0.140625" style="1012" customWidth="1"/>
    <col min="12547" max="12547" width="7.42578125" style="1012" customWidth="1"/>
    <col min="12548" max="12548" width="1.28515625" style="1012" customWidth="1"/>
    <col min="12549" max="12549" width="6.5703125" style="1012" customWidth="1"/>
    <col min="12550" max="12550" width="17" style="1012" customWidth="1"/>
    <col min="12551" max="12551" width="7.7109375" style="1012" customWidth="1"/>
    <col min="12552" max="12552" width="11.85546875" style="1012" customWidth="1"/>
    <col min="12553" max="12553" width="8.28515625" style="1012" customWidth="1"/>
    <col min="12554" max="12554" width="8.85546875" style="1012" customWidth="1"/>
    <col min="12555" max="12555" width="8.42578125" style="1012" customWidth="1"/>
    <col min="12556" max="12556" width="9.7109375" style="1012" customWidth="1"/>
    <col min="12557" max="12557" width="10.42578125" style="1012" customWidth="1"/>
    <col min="12558" max="12558" width="9.5703125" style="1012" customWidth="1"/>
    <col min="12559" max="12559" width="9.85546875" style="1012" customWidth="1"/>
    <col min="12560" max="12560" width="8" style="1012" customWidth="1"/>
    <col min="12561" max="12561" width="8.140625" style="1012" customWidth="1"/>
    <col min="12562" max="12562" width="8.28515625" style="1012" customWidth="1"/>
    <col min="12563" max="12563" width="9.42578125" style="1012" customWidth="1"/>
    <col min="12564" max="12564" width="11.85546875" style="1012" customWidth="1"/>
    <col min="12565" max="12800" width="9.140625" style="1012"/>
    <col min="12801" max="12801" width="3.28515625" style="1012" customWidth="1"/>
    <col min="12802" max="12802" width="0.140625" style="1012" customWidth="1"/>
    <col min="12803" max="12803" width="7.42578125" style="1012" customWidth="1"/>
    <col min="12804" max="12804" width="1.28515625" style="1012" customWidth="1"/>
    <col min="12805" max="12805" width="6.5703125" style="1012" customWidth="1"/>
    <col min="12806" max="12806" width="17" style="1012" customWidth="1"/>
    <col min="12807" max="12807" width="7.7109375" style="1012" customWidth="1"/>
    <col min="12808" max="12808" width="11.85546875" style="1012" customWidth="1"/>
    <col min="12809" max="12809" width="8.28515625" style="1012" customWidth="1"/>
    <col min="12810" max="12810" width="8.85546875" style="1012" customWidth="1"/>
    <col min="12811" max="12811" width="8.42578125" style="1012" customWidth="1"/>
    <col min="12812" max="12812" width="9.7109375" style="1012" customWidth="1"/>
    <col min="12813" max="12813" width="10.42578125" style="1012" customWidth="1"/>
    <col min="12814" max="12814" width="9.5703125" style="1012" customWidth="1"/>
    <col min="12815" max="12815" width="9.85546875" style="1012" customWidth="1"/>
    <col min="12816" max="12816" width="8" style="1012" customWidth="1"/>
    <col min="12817" max="12817" width="8.140625" style="1012" customWidth="1"/>
    <col min="12818" max="12818" width="8.28515625" style="1012" customWidth="1"/>
    <col min="12819" max="12819" width="9.42578125" style="1012" customWidth="1"/>
    <col min="12820" max="12820" width="11.85546875" style="1012" customWidth="1"/>
    <col min="12821" max="13056" width="9.140625" style="1012"/>
    <col min="13057" max="13057" width="3.28515625" style="1012" customWidth="1"/>
    <col min="13058" max="13058" width="0.140625" style="1012" customWidth="1"/>
    <col min="13059" max="13059" width="7.42578125" style="1012" customWidth="1"/>
    <col min="13060" max="13060" width="1.28515625" style="1012" customWidth="1"/>
    <col min="13061" max="13061" width="6.5703125" style="1012" customWidth="1"/>
    <col min="13062" max="13062" width="17" style="1012" customWidth="1"/>
    <col min="13063" max="13063" width="7.7109375" style="1012" customWidth="1"/>
    <col min="13064" max="13064" width="11.85546875" style="1012" customWidth="1"/>
    <col min="13065" max="13065" width="8.28515625" style="1012" customWidth="1"/>
    <col min="13066" max="13066" width="8.85546875" style="1012" customWidth="1"/>
    <col min="13067" max="13067" width="8.42578125" style="1012" customWidth="1"/>
    <col min="13068" max="13068" width="9.7109375" style="1012" customWidth="1"/>
    <col min="13069" max="13069" width="10.42578125" style="1012" customWidth="1"/>
    <col min="13070" max="13070" width="9.5703125" style="1012" customWidth="1"/>
    <col min="13071" max="13071" width="9.85546875" style="1012" customWidth="1"/>
    <col min="13072" max="13072" width="8" style="1012" customWidth="1"/>
    <col min="13073" max="13073" width="8.140625" style="1012" customWidth="1"/>
    <col min="13074" max="13074" width="8.28515625" style="1012" customWidth="1"/>
    <col min="13075" max="13075" width="9.42578125" style="1012" customWidth="1"/>
    <col min="13076" max="13076" width="11.85546875" style="1012" customWidth="1"/>
    <col min="13077" max="13312" width="9.140625" style="1012"/>
    <col min="13313" max="13313" width="3.28515625" style="1012" customWidth="1"/>
    <col min="13314" max="13314" width="0.140625" style="1012" customWidth="1"/>
    <col min="13315" max="13315" width="7.42578125" style="1012" customWidth="1"/>
    <col min="13316" max="13316" width="1.28515625" style="1012" customWidth="1"/>
    <col min="13317" max="13317" width="6.5703125" style="1012" customWidth="1"/>
    <col min="13318" max="13318" width="17" style="1012" customWidth="1"/>
    <col min="13319" max="13319" width="7.7109375" style="1012" customWidth="1"/>
    <col min="13320" max="13320" width="11.85546875" style="1012" customWidth="1"/>
    <col min="13321" max="13321" width="8.28515625" style="1012" customWidth="1"/>
    <col min="13322" max="13322" width="8.85546875" style="1012" customWidth="1"/>
    <col min="13323" max="13323" width="8.42578125" style="1012" customWidth="1"/>
    <col min="13324" max="13324" width="9.7109375" style="1012" customWidth="1"/>
    <col min="13325" max="13325" width="10.42578125" style="1012" customWidth="1"/>
    <col min="13326" max="13326" width="9.5703125" style="1012" customWidth="1"/>
    <col min="13327" max="13327" width="9.85546875" style="1012" customWidth="1"/>
    <col min="13328" max="13328" width="8" style="1012" customWidth="1"/>
    <col min="13329" max="13329" width="8.140625" style="1012" customWidth="1"/>
    <col min="13330" max="13330" width="8.28515625" style="1012" customWidth="1"/>
    <col min="13331" max="13331" width="9.42578125" style="1012" customWidth="1"/>
    <col min="13332" max="13332" width="11.85546875" style="1012" customWidth="1"/>
    <col min="13333" max="13568" width="9.140625" style="1012"/>
    <col min="13569" max="13569" width="3.28515625" style="1012" customWidth="1"/>
    <col min="13570" max="13570" width="0.140625" style="1012" customWidth="1"/>
    <col min="13571" max="13571" width="7.42578125" style="1012" customWidth="1"/>
    <col min="13572" max="13572" width="1.28515625" style="1012" customWidth="1"/>
    <col min="13573" max="13573" width="6.5703125" style="1012" customWidth="1"/>
    <col min="13574" max="13574" width="17" style="1012" customWidth="1"/>
    <col min="13575" max="13575" width="7.7109375" style="1012" customWidth="1"/>
    <col min="13576" max="13576" width="11.85546875" style="1012" customWidth="1"/>
    <col min="13577" max="13577" width="8.28515625" style="1012" customWidth="1"/>
    <col min="13578" max="13578" width="8.85546875" style="1012" customWidth="1"/>
    <col min="13579" max="13579" width="8.42578125" style="1012" customWidth="1"/>
    <col min="13580" max="13580" width="9.7109375" style="1012" customWidth="1"/>
    <col min="13581" max="13581" width="10.42578125" style="1012" customWidth="1"/>
    <col min="13582" max="13582" width="9.5703125" style="1012" customWidth="1"/>
    <col min="13583" max="13583" width="9.85546875" style="1012" customWidth="1"/>
    <col min="13584" max="13584" width="8" style="1012" customWidth="1"/>
    <col min="13585" max="13585" width="8.140625" style="1012" customWidth="1"/>
    <col min="13586" max="13586" width="8.28515625" style="1012" customWidth="1"/>
    <col min="13587" max="13587" width="9.42578125" style="1012" customWidth="1"/>
    <col min="13588" max="13588" width="11.85546875" style="1012" customWidth="1"/>
    <col min="13589" max="13824" width="9.140625" style="1012"/>
    <col min="13825" max="13825" width="3.28515625" style="1012" customWidth="1"/>
    <col min="13826" max="13826" width="0.140625" style="1012" customWidth="1"/>
    <col min="13827" max="13827" width="7.42578125" style="1012" customWidth="1"/>
    <col min="13828" max="13828" width="1.28515625" style="1012" customWidth="1"/>
    <col min="13829" max="13829" width="6.5703125" style="1012" customWidth="1"/>
    <col min="13830" max="13830" width="17" style="1012" customWidth="1"/>
    <col min="13831" max="13831" width="7.7109375" style="1012" customWidth="1"/>
    <col min="13832" max="13832" width="11.85546875" style="1012" customWidth="1"/>
    <col min="13833" max="13833" width="8.28515625" style="1012" customWidth="1"/>
    <col min="13834" max="13834" width="8.85546875" style="1012" customWidth="1"/>
    <col min="13835" max="13835" width="8.42578125" style="1012" customWidth="1"/>
    <col min="13836" max="13836" width="9.7109375" style="1012" customWidth="1"/>
    <col min="13837" max="13837" width="10.42578125" style="1012" customWidth="1"/>
    <col min="13838" max="13838" width="9.5703125" style="1012" customWidth="1"/>
    <col min="13839" max="13839" width="9.85546875" style="1012" customWidth="1"/>
    <col min="13840" max="13840" width="8" style="1012" customWidth="1"/>
    <col min="13841" max="13841" width="8.140625" style="1012" customWidth="1"/>
    <col min="13842" max="13842" width="8.28515625" style="1012" customWidth="1"/>
    <col min="13843" max="13843" width="9.42578125" style="1012" customWidth="1"/>
    <col min="13844" max="13844" width="11.85546875" style="1012" customWidth="1"/>
    <col min="13845" max="14080" width="9.140625" style="1012"/>
    <col min="14081" max="14081" width="3.28515625" style="1012" customWidth="1"/>
    <col min="14082" max="14082" width="0.140625" style="1012" customWidth="1"/>
    <col min="14083" max="14083" width="7.42578125" style="1012" customWidth="1"/>
    <col min="14084" max="14084" width="1.28515625" style="1012" customWidth="1"/>
    <col min="14085" max="14085" width="6.5703125" style="1012" customWidth="1"/>
    <col min="14086" max="14086" width="17" style="1012" customWidth="1"/>
    <col min="14087" max="14087" width="7.7109375" style="1012" customWidth="1"/>
    <col min="14088" max="14088" width="11.85546875" style="1012" customWidth="1"/>
    <col min="14089" max="14089" width="8.28515625" style="1012" customWidth="1"/>
    <col min="14090" max="14090" width="8.85546875" style="1012" customWidth="1"/>
    <col min="14091" max="14091" width="8.42578125" style="1012" customWidth="1"/>
    <col min="14092" max="14092" width="9.7109375" style="1012" customWidth="1"/>
    <col min="14093" max="14093" width="10.42578125" style="1012" customWidth="1"/>
    <col min="14094" max="14094" width="9.5703125" style="1012" customWidth="1"/>
    <col min="14095" max="14095" width="9.85546875" style="1012" customWidth="1"/>
    <col min="14096" max="14096" width="8" style="1012" customWidth="1"/>
    <col min="14097" max="14097" width="8.140625" style="1012" customWidth="1"/>
    <col min="14098" max="14098" width="8.28515625" style="1012" customWidth="1"/>
    <col min="14099" max="14099" width="9.42578125" style="1012" customWidth="1"/>
    <col min="14100" max="14100" width="11.85546875" style="1012" customWidth="1"/>
    <col min="14101" max="14336" width="9.140625" style="1012"/>
    <col min="14337" max="14337" width="3.28515625" style="1012" customWidth="1"/>
    <col min="14338" max="14338" width="0.140625" style="1012" customWidth="1"/>
    <col min="14339" max="14339" width="7.42578125" style="1012" customWidth="1"/>
    <col min="14340" max="14340" width="1.28515625" style="1012" customWidth="1"/>
    <col min="14341" max="14341" width="6.5703125" style="1012" customWidth="1"/>
    <col min="14342" max="14342" width="17" style="1012" customWidth="1"/>
    <col min="14343" max="14343" width="7.7109375" style="1012" customWidth="1"/>
    <col min="14344" max="14344" width="11.85546875" style="1012" customWidth="1"/>
    <col min="14345" max="14345" width="8.28515625" style="1012" customWidth="1"/>
    <col min="14346" max="14346" width="8.85546875" style="1012" customWidth="1"/>
    <col min="14347" max="14347" width="8.42578125" style="1012" customWidth="1"/>
    <col min="14348" max="14348" width="9.7109375" style="1012" customWidth="1"/>
    <col min="14349" max="14349" width="10.42578125" style="1012" customWidth="1"/>
    <col min="14350" max="14350" width="9.5703125" style="1012" customWidth="1"/>
    <col min="14351" max="14351" width="9.85546875" style="1012" customWidth="1"/>
    <col min="14352" max="14352" width="8" style="1012" customWidth="1"/>
    <col min="14353" max="14353" width="8.140625" style="1012" customWidth="1"/>
    <col min="14354" max="14354" width="8.28515625" style="1012" customWidth="1"/>
    <col min="14355" max="14355" width="9.42578125" style="1012" customWidth="1"/>
    <col min="14356" max="14356" width="11.85546875" style="1012" customWidth="1"/>
    <col min="14357" max="14592" width="9.140625" style="1012"/>
    <col min="14593" max="14593" width="3.28515625" style="1012" customWidth="1"/>
    <col min="14594" max="14594" width="0.140625" style="1012" customWidth="1"/>
    <col min="14595" max="14595" width="7.42578125" style="1012" customWidth="1"/>
    <col min="14596" max="14596" width="1.28515625" style="1012" customWidth="1"/>
    <col min="14597" max="14597" width="6.5703125" style="1012" customWidth="1"/>
    <col min="14598" max="14598" width="17" style="1012" customWidth="1"/>
    <col min="14599" max="14599" width="7.7109375" style="1012" customWidth="1"/>
    <col min="14600" max="14600" width="11.85546875" style="1012" customWidth="1"/>
    <col min="14601" max="14601" width="8.28515625" style="1012" customWidth="1"/>
    <col min="14602" max="14602" width="8.85546875" style="1012" customWidth="1"/>
    <col min="14603" max="14603" width="8.42578125" style="1012" customWidth="1"/>
    <col min="14604" max="14604" width="9.7109375" style="1012" customWidth="1"/>
    <col min="14605" max="14605" width="10.42578125" style="1012" customWidth="1"/>
    <col min="14606" max="14606" width="9.5703125" style="1012" customWidth="1"/>
    <col min="14607" max="14607" width="9.85546875" style="1012" customWidth="1"/>
    <col min="14608" max="14608" width="8" style="1012" customWidth="1"/>
    <col min="14609" max="14609" width="8.140625" style="1012" customWidth="1"/>
    <col min="14610" max="14610" width="8.28515625" style="1012" customWidth="1"/>
    <col min="14611" max="14611" width="9.42578125" style="1012" customWidth="1"/>
    <col min="14612" max="14612" width="11.85546875" style="1012" customWidth="1"/>
    <col min="14613" max="14848" width="9.140625" style="1012"/>
    <col min="14849" max="14849" width="3.28515625" style="1012" customWidth="1"/>
    <col min="14850" max="14850" width="0.140625" style="1012" customWidth="1"/>
    <col min="14851" max="14851" width="7.42578125" style="1012" customWidth="1"/>
    <col min="14852" max="14852" width="1.28515625" style="1012" customWidth="1"/>
    <col min="14853" max="14853" width="6.5703125" style="1012" customWidth="1"/>
    <col min="14854" max="14854" width="17" style="1012" customWidth="1"/>
    <col min="14855" max="14855" width="7.7109375" style="1012" customWidth="1"/>
    <col min="14856" max="14856" width="11.85546875" style="1012" customWidth="1"/>
    <col min="14857" max="14857" width="8.28515625" style="1012" customWidth="1"/>
    <col min="14858" max="14858" width="8.85546875" style="1012" customWidth="1"/>
    <col min="14859" max="14859" width="8.42578125" style="1012" customWidth="1"/>
    <col min="14860" max="14860" width="9.7109375" style="1012" customWidth="1"/>
    <col min="14861" max="14861" width="10.42578125" style="1012" customWidth="1"/>
    <col min="14862" max="14862" width="9.5703125" style="1012" customWidth="1"/>
    <col min="14863" max="14863" width="9.85546875" style="1012" customWidth="1"/>
    <col min="14864" max="14864" width="8" style="1012" customWidth="1"/>
    <col min="14865" max="14865" width="8.140625" style="1012" customWidth="1"/>
    <col min="14866" max="14866" width="8.28515625" style="1012" customWidth="1"/>
    <col min="14867" max="14867" width="9.42578125" style="1012" customWidth="1"/>
    <col min="14868" max="14868" width="11.85546875" style="1012" customWidth="1"/>
    <col min="14869" max="15104" width="9.140625" style="1012"/>
    <col min="15105" max="15105" width="3.28515625" style="1012" customWidth="1"/>
    <col min="15106" max="15106" width="0.140625" style="1012" customWidth="1"/>
    <col min="15107" max="15107" width="7.42578125" style="1012" customWidth="1"/>
    <col min="15108" max="15108" width="1.28515625" style="1012" customWidth="1"/>
    <col min="15109" max="15109" width="6.5703125" style="1012" customWidth="1"/>
    <col min="15110" max="15110" width="17" style="1012" customWidth="1"/>
    <col min="15111" max="15111" width="7.7109375" style="1012" customWidth="1"/>
    <col min="15112" max="15112" width="11.85546875" style="1012" customWidth="1"/>
    <col min="15113" max="15113" width="8.28515625" style="1012" customWidth="1"/>
    <col min="15114" max="15114" width="8.85546875" style="1012" customWidth="1"/>
    <col min="15115" max="15115" width="8.42578125" style="1012" customWidth="1"/>
    <col min="15116" max="15116" width="9.7109375" style="1012" customWidth="1"/>
    <col min="15117" max="15117" width="10.42578125" style="1012" customWidth="1"/>
    <col min="15118" max="15118" width="9.5703125" style="1012" customWidth="1"/>
    <col min="15119" max="15119" width="9.85546875" style="1012" customWidth="1"/>
    <col min="15120" max="15120" width="8" style="1012" customWidth="1"/>
    <col min="15121" max="15121" width="8.140625" style="1012" customWidth="1"/>
    <col min="15122" max="15122" width="8.28515625" style="1012" customWidth="1"/>
    <col min="15123" max="15123" width="9.42578125" style="1012" customWidth="1"/>
    <col min="15124" max="15124" width="11.85546875" style="1012" customWidth="1"/>
    <col min="15125" max="15360" width="9.140625" style="1012"/>
    <col min="15361" max="15361" width="3.28515625" style="1012" customWidth="1"/>
    <col min="15362" max="15362" width="0.140625" style="1012" customWidth="1"/>
    <col min="15363" max="15363" width="7.42578125" style="1012" customWidth="1"/>
    <col min="15364" max="15364" width="1.28515625" style="1012" customWidth="1"/>
    <col min="15365" max="15365" width="6.5703125" style="1012" customWidth="1"/>
    <col min="15366" max="15366" width="17" style="1012" customWidth="1"/>
    <col min="15367" max="15367" width="7.7109375" style="1012" customWidth="1"/>
    <col min="15368" max="15368" width="11.85546875" style="1012" customWidth="1"/>
    <col min="15369" max="15369" width="8.28515625" style="1012" customWidth="1"/>
    <col min="15370" max="15370" width="8.85546875" style="1012" customWidth="1"/>
    <col min="15371" max="15371" width="8.42578125" style="1012" customWidth="1"/>
    <col min="15372" max="15372" width="9.7109375" style="1012" customWidth="1"/>
    <col min="15373" max="15373" width="10.42578125" style="1012" customWidth="1"/>
    <col min="15374" max="15374" width="9.5703125" style="1012" customWidth="1"/>
    <col min="15375" max="15375" width="9.85546875" style="1012" customWidth="1"/>
    <col min="15376" max="15376" width="8" style="1012" customWidth="1"/>
    <col min="15377" max="15377" width="8.140625" style="1012" customWidth="1"/>
    <col min="15378" max="15378" width="8.28515625" style="1012" customWidth="1"/>
    <col min="15379" max="15379" width="9.42578125" style="1012" customWidth="1"/>
    <col min="15380" max="15380" width="11.85546875" style="1012" customWidth="1"/>
    <col min="15381" max="15616" width="9.140625" style="1012"/>
    <col min="15617" max="15617" width="3.28515625" style="1012" customWidth="1"/>
    <col min="15618" max="15618" width="0.140625" style="1012" customWidth="1"/>
    <col min="15619" max="15619" width="7.42578125" style="1012" customWidth="1"/>
    <col min="15620" max="15620" width="1.28515625" style="1012" customWidth="1"/>
    <col min="15621" max="15621" width="6.5703125" style="1012" customWidth="1"/>
    <col min="15622" max="15622" width="17" style="1012" customWidth="1"/>
    <col min="15623" max="15623" width="7.7109375" style="1012" customWidth="1"/>
    <col min="15624" max="15624" width="11.85546875" style="1012" customWidth="1"/>
    <col min="15625" max="15625" width="8.28515625" style="1012" customWidth="1"/>
    <col min="15626" max="15626" width="8.85546875" style="1012" customWidth="1"/>
    <col min="15627" max="15627" width="8.42578125" style="1012" customWidth="1"/>
    <col min="15628" max="15628" width="9.7109375" style="1012" customWidth="1"/>
    <col min="15629" max="15629" width="10.42578125" style="1012" customWidth="1"/>
    <col min="15630" max="15630" width="9.5703125" style="1012" customWidth="1"/>
    <col min="15631" max="15631" width="9.85546875" style="1012" customWidth="1"/>
    <col min="15632" max="15632" width="8" style="1012" customWidth="1"/>
    <col min="15633" max="15633" width="8.140625" style="1012" customWidth="1"/>
    <col min="15634" max="15634" width="8.28515625" style="1012" customWidth="1"/>
    <col min="15635" max="15635" width="9.42578125" style="1012" customWidth="1"/>
    <col min="15636" max="15636" width="11.85546875" style="1012" customWidth="1"/>
    <col min="15637" max="15872" width="9.140625" style="1012"/>
    <col min="15873" max="15873" width="3.28515625" style="1012" customWidth="1"/>
    <col min="15874" max="15874" width="0.140625" style="1012" customWidth="1"/>
    <col min="15875" max="15875" width="7.42578125" style="1012" customWidth="1"/>
    <col min="15876" max="15876" width="1.28515625" style="1012" customWidth="1"/>
    <col min="15877" max="15877" width="6.5703125" style="1012" customWidth="1"/>
    <col min="15878" max="15878" width="17" style="1012" customWidth="1"/>
    <col min="15879" max="15879" width="7.7109375" style="1012" customWidth="1"/>
    <col min="15880" max="15880" width="11.85546875" style="1012" customWidth="1"/>
    <col min="15881" max="15881" width="8.28515625" style="1012" customWidth="1"/>
    <col min="15882" max="15882" width="8.85546875" style="1012" customWidth="1"/>
    <col min="15883" max="15883" width="8.42578125" style="1012" customWidth="1"/>
    <col min="15884" max="15884" width="9.7109375" style="1012" customWidth="1"/>
    <col min="15885" max="15885" width="10.42578125" style="1012" customWidth="1"/>
    <col min="15886" max="15886" width="9.5703125" style="1012" customWidth="1"/>
    <col min="15887" max="15887" width="9.85546875" style="1012" customWidth="1"/>
    <col min="15888" max="15888" width="8" style="1012" customWidth="1"/>
    <col min="15889" max="15889" width="8.140625" style="1012" customWidth="1"/>
    <col min="15890" max="15890" width="8.28515625" style="1012" customWidth="1"/>
    <col min="15891" max="15891" width="9.42578125" style="1012" customWidth="1"/>
    <col min="15892" max="15892" width="11.85546875" style="1012" customWidth="1"/>
    <col min="15893" max="16128" width="9.140625" style="1012"/>
    <col min="16129" max="16129" width="3.28515625" style="1012" customWidth="1"/>
    <col min="16130" max="16130" width="0.140625" style="1012" customWidth="1"/>
    <col min="16131" max="16131" width="7.42578125" style="1012" customWidth="1"/>
    <col min="16132" max="16132" width="1.28515625" style="1012" customWidth="1"/>
    <col min="16133" max="16133" width="6.5703125" style="1012" customWidth="1"/>
    <col min="16134" max="16134" width="17" style="1012" customWidth="1"/>
    <col min="16135" max="16135" width="7.7109375" style="1012" customWidth="1"/>
    <col min="16136" max="16136" width="11.85546875" style="1012" customWidth="1"/>
    <col min="16137" max="16137" width="8.28515625" style="1012" customWidth="1"/>
    <col min="16138" max="16138" width="8.85546875" style="1012" customWidth="1"/>
    <col min="16139" max="16139" width="8.42578125" style="1012" customWidth="1"/>
    <col min="16140" max="16140" width="9.7109375" style="1012" customWidth="1"/>
    <col min="16141" max="16141" width="10.42578125" style="1012" customWidth="1"/>
    <col min="16142" max="16142" width="9.5703125" style="1012" customWidth="1"/>
    <col min="16143" max="16143" width="9.85546875" style="1012" customWidth="1"/>
    <col min="16144" max="16144" width="8" style="1012" customWidth="1"/>
    <col min="16145" max="16145" width="8.140625" style="1012" customWidth="1"/>
    <col min="16146" max="16146" width="8.28515625" style="1012" customWidth="1"/>
    <col min="16147" max="16147" width="9.42578125" style="1012" customWidth="1"/>
    <col min="16148" max="16148" width="11.85546875" style="1012" customWidth="1"/>
    <col min="16149" max="16384" width="9.140625" style="1012"/>
  </cols>
  <sheetData>
    <row r="1" spans="1:20">
      <c r="A1" s="1010"/>
      <c r="B1" s="1010"/>
      <c r="C1" s="1011"/>
      <c r="D1" s="1010"/>
      <c r="E1" s="1010"/>
      <c r="F1" s="1010"/>
      <c r="G1" s="1010"/>
      <c r="H1" s="1010"/>
      <c r="I1" s="1010"/>
      <c r="J1" s="1010"/>
      <c r="K1" s="1010"/>
      <c r="L1" s="1010"/>
      <c r="M1" s="1010"/>
      <c r="N1" s="1010"/>
      <c r="O1" s="1010"/>
      <c r="P1" s="1010"/>
      <c r="Q1" s="1010"/>
      <c r="R1" s="1010"/>
      <c r="S1" s="1010"/>
      <c r="T1" s="1010"/>
    </row>
    <row r="2" spans="1:20" ht="18" customHeight="1">
      <c r="A2" s="1010"/>
      <c r="B2" s="1010"/>
      <c r="C2" s="1455" t="s">
        <v>135</v>
      </c>
      <c r="D2" s="1455"/>
      <c r="E2" s="1455"/>
      <c r="F2" s="1455"/>
      <c r="G2" s="1455"/>
      <c r="H2" s="1455"/>
      <c r="I2" s="1455"/>
      <c r="J2" s="1455"/>
      <c r="K2" s="1455"/>
      <c r="L2" s="1455"/>
      <c r="M2" s="1455"/>
      <c r="N2" s="1455"/>
      <c r="O2" s="1455"/>
      <c r="P2" s="1455"/>
      <c r="Q2" s="1455"/>
      <c r="R2" s="1455"/>
      <c r="S2" s="1455"/>
      <c r="T2" s="1455"/>
    </row>
    <row r="3" spans="1:20" ht="21" customHeight="1">
      <c r="A3" s="1010"/>
      <c r="B3" s="1010"/>
      <c r="C3" s="1470" t="s">
        <v>498</v>
      </c>
      <c r="D3" s="1470"/>
      <c r="E3" s="1470"/>
      <c r="F3" s="1470"/>
      <c r="G3" s="1470"/>
      <c r="H3" s="1470"/>
      <c r="I3" s="1470"/>
      <c r="J3" s="1470"/>
      <c r="K3" s="1470"/>
      <c r="L3" s="1470"/>
      <c r="M3" s="1470"/>
      <c r="N3" s="1470"/>
      <c r="O3" s="1470"/>
      <c r="P3" s="1470"/>
      <c r="Q3" s="1470"/>
      <c r="R3" s="1470"/>
      <c r="S3" s="1470"/>
      <c r="T3" s="1470"/>
    </row>
    <row r="4" spans="1:20" ht="21" customHeight="1">
      <c r="A4" s="1456"/>
      <c r="B4" s="1457"/>
      <c r="C4" s="1458" t="s">
        <v>63</v>
      </c>
      <c r="D4" s="1461" t="s">
        <v>25</v>
      </c>
      <c r="E4" s="1462"/>
      <c r="F4" s="1458" t="s">
        <v>96</v>
      </c>
      <c r="G4" s="1458" t="s">
        <v>64</v>
      </c>
      <c r="H4" s="1458" t="s">
        <v>65</v>
      </c>
      <c r="I4" s="1458" t="s">
        <v>6</v>
      </c>
      <c r="J4" s="1458" t="s">
        <v>66</v>
      </c>
      <c r="K4" s="1467" t="s">
        <v>67</v>
      </c>
      <c r="L4" s="1468"/>
      <c r="M4" s="1468"/>
      <c r="N4" s="1468"/>
      <c r="O4" s="1468"/>
      <c r="P4" s="1468"/>
      <c r="Q4" s="1468"/>
      <c r="R4" s="1468"/>
      <c r="S4" s="1468"/>
      <c r="T4" s="1469"/>
    </row>
    <row r="5" spans="1:20" ht="15" customHeight="1">
      <c r="A5" s="1456"/>
      <c r="B5" s="1457"/>
      <c r="C5" s="1459"/>
      <c r="D5" s="1463"/>
      <c r="E5" s="1464"/>
      <c r="F5" s="1459"/>
      <c r="G5" s="1459"/>
      <c r="H5" s="1459"/>
      <c r="I5" s="1460"/>
      <c r="J5" s="1459"/>
      <c r="K5" s="1148" t="s">
        <v>49</v>
      </c>
      <c r="L5" s="1148" t="s">
        <v>51</v>
      </c>
      <c r="M5" s="1148" t="s">
        <v>34</v>
      </c>
      <c r="N5" s="1148" t="s">
        <v>36</v>
      </c>
      <c r="O5" s="1148" t="s">
        <v>38</v>
      </c>
      <c r="P5" s="1148" t="s">
        <v>40</v>
      </c>
      <c r="Q5" s="1148" t="s">
        <v>42</v>
      </c>
      <c r="R5" s="1148" t="s">
        <v>44</v>
      </c>
      <c r="S5" s="1148" t="s">
        <v>46</v>
      </c>
      <c r="T5" s="1148" t="s">
        <v>68</v>
      </c>
    </row>
    <row r="6" spans="1:20" ht="42" customHeight="1">
      <c r="A6" s="1010"/>
      <c r="B6" s="1010"/>
      <c r="C6" s="1460"/>
      <c r="D6" s="1465"/>
      <c r="E6" s="1466"/>
      <c r="F6" s="1460"/>
      <c r="G6" s="1460"/>
      <c r="H6" s="1460"/>
      <c r="I6" s="1149" t="s">
        <v>69</v>
      </c>
      <c r="J6" s="1460"/>
      <c r="K6" s="1150" t="s">
        <v>136</v>
      </c>
      <c r="L6" s="1150" t="s">
        <v>137</v>
      </c>
      <c r="M6" s="1150" t="s">
        <v>72</v>
      </c>
      <c r="N6" s="1150" t="s">
        <v>138</v>
      </c>
      <c r="O6" s="1150" t="s">
        <v>139</v>
      </c>
      <c r="P6" s="1150" t="s">
        <v>140</v>
      </c>
      <c r="Q6" s="1150" t="s">
        <v>141</v>
      </c>
      <c r="R6" s="1150" t="s">
        <v>142</v>
      </c>
      <c r="S6" s="1150" t="s">
        <v>78</v>
      </c>
      <c r="T6" s="1149" t="s">
        <v>68</v>
      </c>
    </row>
    <row r="7" spans="1:20" ht="51" customHeight="1">
      <c r="A7" s="1010"/>
      <c r="B7" s="1010"/>
      <c r="C7" s="1013" t="s">
        <v>179</v>
      </c>
      <c r="D7" s="1453" t="s">
        <v>151</v>
      </c>
      <c r="E7" s="1454"/>
      <c r="F7" s="1014" t="s">
        <v>152</v>
      </c>
      <c r="G7" s="1013" t="s">
        <v>79</v>
      </c>
      <c r="H7" s="1014" t="s">
        <v>80</v>
      </c>
      <c r="I7" s="1013">
        <v>2026</v>
      </c>
      <c r="J7" s="1014" t="s">
        <v>81</v>
      </c>
      <c r="K7" s="1015">
        <v>0</v>
      </c>
      <c r="L7" s="1015">
        <v>500000000</v>
      </c>
      <c r="M7" s="1016">
        <v>715336000</v>
      </c>
      <c r="N7" s="1016">
        <v>119300000</v>
      </c>
      <c r="O7" s="1016">
        <v>798164000</v>
      </c>
      <c r="P7" s="1015">
        <v>0</v>
      </c>
      <c r="Q7" s="1015">
        <v>0</v>
      </c>
      <c r="R7" s="1015">
        <v>0</v>
      </c>
      <c r="S7" s="1017">
        <v>2000000</v>
      </c>
      <c r="T7" s="1015">
        <f t="shared" ref="T7:T14" si="0">SUM(L7:S7)</f>
        <v>2134800000</v>
      </c>
    </row>
    <row r="8" spans="1:20" ht="25.5" customHeight="1">
      <c r="A8" s="1010"/>
      <c r="B8" s="1010"/>
      <c r="C8" s="1013" t="s">
        <v>179</v>
      </c>
      <c r="D8" s="1453" t="s">
        <v>151</v>
      </c>
      <c r="E8" s="1454"/>
      <c r="F8" s="1014" t="s">
        <v>152</v>
      </c>
      <c r="G8" s="1013" t="s">
        <v>79</v>
      </c>
      <c r="H8" s="1014" t="s">
        <v>80</v>
      </c>
      <c r="I8" s="1013">
        <v>2026</v>
      </c>
      <c r="J8" s="1014" t="s">
        <v>82</v>
      </c>
      <c r="K8" s="1015">
        <v>0</v>
      </c>
      <c r="L8" s="1015">
        <v>500000000</v>
      </c>
      <c r="M8" s="1016">
        <v>715336000</v>
      </c>
      <c r="N8" s="1016">
        <v>119300000</v>
      </c>
      <c r="O8" s="1016">
        <v>798164000</v>
      </c>
      <c r="P8" s="1015">
        <v>0</v>
      </c>
      <c r="Q8" s="1015">
        <v>0</v>
      </c>
      <c r="R8" s="1015">
        <v>0</v>
      </c>
      <c r="S8" s="1017">
        <v>2000000</v>
      </c>
      <c r="T8" s="1015">
        <f t="shared" si="0"/>
        <v>2134800000</v>
      </c>
    </row>
    <row r="9" spans="1:20" ht="25.5" customHeight="1">
      <c r="A9" s="1010"/>
      <c r="B9" s="1010"/>
      <c r="C9" s="1013" t="s">
        <v>179</v>
      </c>
      <c r="D9" s="1453" t="s">
        <v>151</v>
      </c>
      <c r="E9" s="1454"/>
      <c r="F9" s="1014" t="s">
        <v>152</v>
      </c>
      <c r="G9" s="1013" t="s">
        <v>79</v>
      </c>
      <c r="H9" s="1014" t="s">
        <v>80</v>
      </c>
      <c r="I9" s="1013">
        <v>2026</v>
      </c>
      <c r="J9" s="1014" t="s">
        <v>83</v>
      </c>
      <c r="K9" s="1015">
        <v>0</v>
      </c>
      <c r="L9" s="1016">
        <v>2456160</v>
      </c>
      <c r="M9" s="1016">
        <v>246002787</v>
      </c>
      <c r="N9" s="1016">
        <v>40384161</v>
      </c>
      <c r="O9" s="1016">
        <v>164866449</v>
      </c>
      <c r="P9" s="1015">
        <v>0</v>
      </c>
      <c r="Q9" s="1015">
        <v>0</v>
      </c>
      <c r="R9" s="1015">
        <v>0</v>
      </c>
      <c r="S9" s="1016">
        <v>786646</v>
      </c>
      <c r="T9" s="1015">
        <f t="shared" si="0"/>
        <v>454496203</v>
      </c>
    </row>
    <row r="10" spans="1:20" ht="25.5" customHeight="1">
      <c r="A10" s="1010"/>
      <c r="B10" s="1010"/>
      <c r="C10" s="1013" t="s">
        <v>179</v>
      </c>
      <c r="D10" s="1453" t="s">
        <v>151</v>
      </c>
      <c r="E10" s="1454"/>
      <c r="F10" s="1014" t="s">
        <v>152</v>
      </c>
      <c r="G10" s="1013" t="s">
        <v>79</v>
      </c>
      <c r="H10" s="1014" t="s">
        <v>80</v>
      </c>
      <c r="I10" s="1013">
        <v>2026</v>
      </c>
      <c r="J10" s="1014" t="s">
        <v>84</v>
      </c>
      <c r="K10" s="1015">
        <v>0</v>
      </c>
      <c r="L10" s="1015">
        <v>0</v>
      </c>
      <c r="M10" s="1015">
        <v>0</v>
      </c>
      <c r="N10" s="1015">
        <v>0</v>
      </c>
      <c r="O10" s="1015">
        <v>0</v>
      </c>
      <c r="P10" s="1015">
        <v>0</v>
      </c>
      <c r="Q10" s="1015">
        <v>0</v>
      </c>
      <c r="R10" s="1015">
        <v>0</v>
      </c>
      <c r="S10" s="1017">
        <v>0</v>
      </c>
      <c r="T10" s="1015">
        <f t="shared" si="0"/>
        <v>0</v>
      </c>
    </row>
    <row r="11" spans="1:20" ht="25.5" customHeight="1">
      <c r="A11" s="1010"/>
      <c r="B11" s="1010"/>
      <c r="C11" s="1013" t="s">
        <v>179</v>
      </c>
      <c r="D11" s="1453" t="s">
        <v>151</v>
      </c>
      <c r="E11" s="1454"/>
      <c r="F11" s="1014" t="s">
        <v>152</v>
      </c>
      <c r="G11" s="1013"/>
      <c r="H11" s="1014" t="s">
        <v>68</v>
      </c>
      <c r="I11" s="1013">
        <v>2026</v>
      </c>
      <c r="J11" s="1014" t="s">
        <v>81</v>
      </c>
      <c r="K11" s="1015">
        <v>0</v>
      </c>
      <c r="L11" s="1015">
        <v>500000000</v>
      </c>
      <c r="M11" s="1016">
        <v>715336000</v>
      </c>
      <c r="N11" s="1016">
        <v>119300000</v>
      </c>
      <c r="O11" s="1016">
        <v>798164000</v>
      </c>
      <c r="P11" s="1015">
        <v>0</v>
      </c>
      <c r="Q11" s="1015">
        <v>0</v>
      </c>
      <c r="R11" s="1015">
        <v>0</v>
      </c>
      <c r="S11" s="1017">
        <v>2000000</v>
      </c>
      <c r="T11" s="1015">
        <f t="shared" si="0"/>
        <v>2134800000</v>
      </c>
    </row>
    <row r="12" spans="1:20" ht="25.5" customHeight="1">
      <c r="A12" s="1010"/>
      <c r="B12" s="1010"/>
      <c r="C12" s="1013" t="s">
        <v>179</v>
      </c>
      <c r="D12" s="1453" t="s">
        <v>151</v>
      </c>
      <c r="E12" s="1454"/>
      <c r="F12" s="1014" t="s">
        <v>152</v>
      </c>
      <c r="G12" s="1013"/>
      <c r="H12" s="1014" t="s">
        <v>68</v>
      </c>
      <c r="I12" s="1013">
        <v>2026</v>
      </c>
      <c r="J12" s="1014" t="s">
        <v>82</v>
      </c>
      <c r="K12" s="1015">
        <v>0</v>
      </c>
      <c r="L12" s="1015">
        <v>500000000</v>
      </c>
      <c r="M12" s="1016">
        <v>715336000</v>
      </c>
      <c r="N12" s="1016">
        <v>119300000</v>
      </c>
      <c r="O12" s="1016">
        <v>798164000</v>
      </c>
      <c r="P12" s="1015">
        <v>0</v>
      </c>
      <c r="Q12" s="1015">
        <v>0</v>
      </c>
      <c r="R12" s="1015">
        <v>0</v>
      </c>
      <c r="S12" s="1017">
        <v>2000000</v>
      </c>
      <c r="T12" s="1015">
        <f t="shared" si="0"/>
        <v>2134800000</v>
      </c>
    </row>
    <row r="13" spans="1:20" ht="25.5" customHeight="1">
      <c r="A13" s="1010"/>
      <c r="B13" s="1010"/>
      <c r="C13" s="1013" t="s">
        <v>179</v>
      </c>
      <c r="D13" s="1453" t="s">
        <v>151</v>
      </c>
      <c r="E13" s="1454"/>
      <c r="F13" s="1014" t="s">
        <v>152</v>
      </c>
      <c r="G13" s="1013"/>
      <c r="H13" s="1014" t="s">
        <v>68</v>
      </c>
      <c r="I13" s="1013">
        <v>2026</v>
      </c>
      <c r="J13" s="1014" t="s">
        <v>83</v>
      </c>
      <c r="K13" s="1015">
        <v>0</v>
      </c>
      <c r="L13" s="1016">
        <v>2456160</v>
      </c>
      <c r="M13" s="1016">
        <v>246002787</v>
      </c>
      <c r="N13" s="1016">
        <v>40384161</v>
      </c>
      <c r="O13" s="1016">
        <v>164866449</v>
      </c>
      <c r="P13" s="1015">
        <v>0</v>
      </c>
      <c r="Q13" s="1015">
        <v>0</v>
      </c>
      <c r="R13" s="1015">
        <v>0</v>
      </c>
      <c r="S13" s="1016">
        <v>786646</v>
      </c>
      <c r="T13" s="1015">
        <f t="shared" si="0"/>
        <v>454496203</v>
      </c>
    </row>
    <row r="14" spans="1:20" ht="25.5" customHeight="1">
      <c r="A14" s="1010"/>
      <c r="B14" s="1010"/>
      <c r="C14" s="1013" t="s">
        <v>179</v>
      </c>
      <c r="D14" s="1453" t="s">
        <v>151</v>
      </c>
      <c r="E14" s="1454"/>
      <c r="F14" s="1014" t="s">
        <v>152</v>
      </c>
      <c r="G14" s="1013"/>
      <c r="H14" s="1014" t="s">
        <v>68</v>
      </c>
      <c r="I14" s="1013">
        <v>2026</v>
      </c>
      <c r="J14" s="1014" t="s">
        <v>84</v>
      </c>
      <c r="K14" s="1015">
        <v>0</v>
      </c>
      <c r="L14" s="1015">
        <v>0</v>
      </c>
      <c r="M14" s="1015">
        <v>0</v>
      </c>
      <c r="N14" s="1015">
        <v>0</v>
      </c>
      <c r="O14" s="1015">
        <v>0</v>
      </c>
      <c r="P14" s="1015">
        <v>0</v>
      </c>
      <c r="Q14" s="1015">
        <v>0</v>
      </c>
      <c r="R14" s="1015">
        <v>0</v>
      </c>
      <c r="S14" s="1017">
        <v>0</v>
      </c>
      <c r="T14" s="1015">
        <f t="shared" si="0"/>
        <v>0</v>
      </c>
    </row>
    <row r="15" spans="1:20" ht="25.5" customHeight="1">
      <c r="A15" s="1010"/>
      <c r="B15" s="1010"/>
      <c r="C15" s="1013" t="s">
        <v>179</v>
      </c>
      <c r="D15" s="1453" t="s">
        <v>151</v>
      </c>
      <c r="E15" s="1454"/>
      <c r="F15" s="1014" t="s">
        <v>89</v>
      </c>
      <c r="G15" s="1013"/>
      <c r="H15" s="1014"/>
      <c r="I15" s="1013">
        <v>2026</v>
      </c>
      <c r="J15" s="1018"/>
      <c r="K15" s="1015">
        <v>0</v>
      </c>
      <c r="L15" s="1015">
        <f>L12-L13</f>
        <v>497543840</v>
      </c>
      <c r="M15" s="1015">
        <f t="shared" ref="M15:T16" si="1">M12-M13</f>
        <v>469333213</v>
      </c>
      <c r="N15" s="1015">
        <f t="shared" si="1"/>
        <v>78915839</v>
      </c>
      <c r="O15" s="1015">
        <f t="shared" si="1"/>
        <v>633297551</v>
      </c>
      <c r="P15" s="1015">
        <f t="shared" si="1"/>
        <v>0</v>
      </c>
      <c r="Q15" s="1015">
        <f t="shared" si="1"/>
        <v>0</v>
      </c>
      <c r="R15" s="1015">
        <f t="shared" si="1"/>
        <v>0</v>
      </c>
      <c r="S15" s="1015">
        <f t="shared" si="1"/>
        <v>1213354</v>
      </c>
      <c r="T15" s="1015">
        <f t="shared" si="1"/>
        <v>1680303797</v>
      </c>
    </row>
    <row r="16" spans="1:20" ht="25.5" customHeight="1">
      <c r="A16" s="1010"/>
      <c r="B16" s="1010"/>
      <c r="C16" s="1013" t="s">
        <v>179</v>
      </c>
      <c r="D16" s="1453" t="s">
        <v>151</v>
      </c>
      <c r="E16" s="1454"/>
      <c r="F16" s="1014" t="s">
        <v>90</v>
      </c>
      <c r="G16" s="1013"/>
      <c r="H16" s="1014"/>
      <c r="I16" s="1013">
        <v>2026</v>
      </c>
      <c r="J16" s="1018"/>
      <c r="K16" s="1015">
        <v>0</v>
      </c>
      <c r="L16" s="1019">
        <f>(L13/L12)*100</f>
        <v>0.49123200000000006</v>
      </c>
      <c r="M16" s="1019">
        <f t="shared" ref="M16:T16" si="2">(M13/M12)*100</f>
        <v>34.389823383696609</v>
      </c>
      <c r="N16" s="1019">
        <f t="shared" si="2"/>
        <v>33.850931265716682</v>
      </c>
      <c r="O16" s="1019">
        <f t="shared" si="2"/>
        <v>20.655710981703006</v>
      </c>
      <c r="P16" s="1015">
        <f t="shared" si="1"/>
        <v>0</v>
      </c>
      <c r="Q16" s="1015">
        <f t="shared" si="1"/>
        <v>0</v>
      </c>
      <c r="R16" s="1015">
        <f t="shared" si="1"/>
        <v>0</v>
      </c>
      <c r="S16" s="1019">
        <f t="shared" si="2"/>
        <v>39.332299999999996</v>
      </c>
      <c r="T16" s="1019">
        <f t="shared" si="2"/>
        <v>21.289872728124415</v>
      </c>
    </row>
    <row r="17" spans="1:20" ht="25.5" customHeight="1">
      <c r="A17" s="1010"/>
      <c r="B17" s="1010"/>
      <c r="C17" s="1013" t="s">
        <v>179</v>
      </c>
      <c r="D17" s="1453" t="s">
        <v>151</v>
      </c>
      <c r="E17" s="1454"/>
      <c r="F17" s="1014" t="s">
        <v>108</v>
      </c>
      <c r="G17" s="1020" t="s">
        <v>91</v>
      </c>
      <c r="H17" s="1021" t="s">
        <v>108</v>
      </c>
      <c r="I17" s="1022">
        <v>2026</v>
      </c>
      <c r="J17" s="1021" t="s">
        <v>474</v>
      </c>
      <c r="K17" s="1023"/>
      <c r="L17" s="1019">
        <v>21929395</v>
      </c>
      <c r="M17" s="1024">
        <v>4024149</v>
      </c>
      <c r="N17" s="1024"/>
      <c r="O17" s="1025">
        <v>4984675</v>
      </c>
      <c r="P17" s="1015"/>
      <c r="Q17" s="1015"/>
      <c r="R17" s="1015"/>
      <c r="S17" s="1019"/>
      <c r="T17" s="1019">
        <f>L17+M17+N17+O17+P17+Q17</f>
        <v>30938219</v>
      </c>
    </row>
    <row r="18" spans="1:20" ht="25.5" customHeight="1">
      <c r="A18" s="1010"/>
      <c r="B18" s="1010"/>
      <c r="C18" s="1013" t="s">
        <v>179</v>
      </c>
      <c r="D18" s="1453" t="s">
        <v>151</v>
      </c>
      <c r="E18" s="1454"/>
      <c r="F18" s="1014" t="s">
        <v>108</v>
      </c>
      <c r="G18" s="1020" t="s">
        <v>91</v>
      </c>
      <c r="H18" s="1026" t="s">
        <v>108</v>
      </c>
      <c r="I18" s="1022">
        <v>2026</v>
      </c>
      <c r="J18" s="1021" t="s">
        <v>83</v>
      </c>
      <c r="K18" s="1023"/>
      <c r="L18" s="1015">
        <v>0</v>
      </c>
      <c r="M18" s="1027">
        <v>2809260</v>
      </c>
      <c r="N18" s="1028">
        <v>0</v>
      </c>
      <c r="O18" s="1015">
        <v>0</v>
      </c>
      <c r="P18" s="1015">
        <v>0</v>
      </c>
      <c r="Q18" s="1015">
        <v>0</v>
      </c>
      <c r="R18" s="1015">
        <v>0</v>
      </c>
      <c r="S18" s="1017">
        <v>0</v>
      </c>
      <c r="T18" s="1019">
        <f>L18+M18+N18+O18+P18+Q18</f>
        <v>2809260</v>
      </c>
    </row>
    <row r="19" spans="1:20">
      <c r="M19" s="1029"/>
      <c r="N19" s="1029"/>
    </row>
  </sheetData>
  <mergeCells count="23">
    <mergeCell ref="C2:T2"/>
    <mergeCell ref="A4:B5"/>
    <mergeCell ref="C4:C6"/>
    <mergeCell ref="D4:E6"/>
    <mergeCell ref="F4:F6"/>
    <mergeCell ref="G4:G6"/>
    <mergeCell ref="H4:H6"/>
    <mergeCell ref="I4:I5"/>
    <mergeCell ref="J4:J6"/>
    <mergeCell ref="K4:T4"/>
    <mergeCell ref="C3:T3"/>
    <mergeCell ref="D18:E18"/>
    <mergeCell ref="D15:E15"/>
    <mergeCell ref="D16:E16"/>
    <mergeCell ref="D14:E14"/>
    <mergeCell ref="D7:E7"/>
    <mergeCell ref="D17:E17"/>
    <mergeCell ref="D8:E8"/>
    <mergeCell ref="D9:E9"/>
    <mergeCell ref="D10:E10"/>
    <mergeCell ref="D12:E12"/>
    <mergeCell ref="D11:E11"/>
    <mergeCell ref="D13:E1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9389629810485"/>
  </sheetPr>
  <dimension ref="A1:U19"/>
  <sheetViews>
    <sheetView workbookViewId="0">
      <selection activeCell="U19" sqref="U19"/>
    </sheetView>
  </sheetViews>
  <sheetFormatPr defaultRowHeight="15.75"/>
  <cols>
    <col min="1" max="1" width="3.28515625" style="733" customWidth="1"/>
    <col min="2" max="2" width="0.140625" style="733" customWidth="1"/>
    <col min="3" max="3" width="9" style="733" customWidth="1"/>
    <col min="4" max="4" width="1.28515625" style="733" customWidth="1"/>
    <col min="5" max="5" width="11.5703125" style="733" customWidth="1"/>
    <col min="6" max="6" width="24.7109375" style="733" customWidth="1"/>
    <col min="7" max="7" width="8.140625" style="733" customWidth="1"/>
    <col min="8" max="8" width="10.7109375" style="733" customWidth="1"/>
    <col min="9" max="9" width="9.85546875" style="733" customWidth="1"/>
    <col min="10" max="10" width="13.28515625" style="733" customWidth="1"/>
    <col min="11" max="11" width="11.28515625" style="733" customWidth="1"/>
    <col min="12" max="12" width="13.28515625" style="733" customWidth="1"/>
    <col min="13" max="13" width="14.140625" style="733" customWidth="1"/>
    <col min="14" max="14" width="13.140625" style="733" customWidth="1"/>
    <col min="15" max="15" width="12.5703125" style="733" customWidth="1"/>
    <col min="16" max="16" width="5.85546875" style="733" customWidth="1"/>
    <col min="17" max="17" width="10.42578125" style="733" customWidth="1"/>
    <col min="18" max="18" width="8" style="733" customWidth="1"/>
    <col min="19" max="19" width="12.5703125" style="733" customWidth="1"/>
    <col min="20" max="20" width="6" style="733" customWidth="1"/>
    <col min="21" max="21" width="14.42578125" style="733" customWidth="1"/>
    <col min="22" max="16384" width="9.140625" style="733"/>
  </cols>
  <sheetData>
    <row r="1" spans="1:21">
      <c r="A1" s="731"/>
      <c r="B1" s="731"/>
      <c r="C1" s="732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1"/>
      <c r="S1" s="731"/>
      <c r="T1" s="731"/>
      <c r="U1" s="731"/>
    </row>
    <row r="2" spans="1:21">
      <c r="A2" s="731"/>
      <c r="B2" s="731"/>
      <c r="C2" s="1474" t="s">
        <v>135</v>
      </c>
      <c r="D2" s="1474"/>
      <c r="E2" s="1474"/>
      <c r="F2" s="1474"/>
      <c r="G2" s="1474"/>
      <c r="H2" s="1474"/>
      <c r="I2" s="1474"/>
      <c r="J2" s="1474"/>
      <c r="K2" s="1474"/>
      <c r="L2" s="1474"/>
      <c r="M2" s="1474"/>
      <c r="N2" s="1474"/>
      <c r="O2" s="1474"/>
      <c r="P2" s="1474"/>
      <c r="Q2" s="1474"/>
      <c r="R2" s="1474"/>
      <c r="S2" s="1474"/>
      <c r="T2" s="731"/>
      <c r="U2" s="731"/>
    </row>
    <row r="3" spans="1:21" ht="16.5" thickBot="1">
      <c r="A3" s="731"/>
      <c r="B3" s="731"/>
      <c r="C3" s="1475" t="s">
        <v>540</v>
      </c>
      <c r="D3" s="1475"/>
      <c r="E3" s="1475"/>
      <c r="F3" s="1475"/>
      <c r="G3" s="1475"/>
      <c r="H3" s="1475"/>
      <c r="I3" s="1475"/>
      <c r="J3" s="1475"/>
      <c r="K3" s="1475"/>
      <c r="L3" s="1475"/>
      <c r="M3" s="1475"/>
      <c r="N3" s="1475"/>
      <c r="O3" s="1475"/>
      <c r="P3" s="1475"/>
      <c r="Q3" s="1475"/>
      <c r="R3" s="1475"/>
      <c r="S3" s="1475"/>
      <c r="T3" s="1475"/>
      <c r="U3" s="1475"/>
    </row>
    <row r="4" spans="1:21" ht="17.25" thickTop="1" thickBot="1">
      <c r="A4" s="1478"/>
      <c r="B4" s="1478"/>
      <c r="C4" s="1238" t="s">
        <v>63</v>
      </c>
      <c r="D4" s="1235" t="s">
        <v>25</v>
      </c>
      <c r="E4" s="1235"/>
      <c r="F4" s="1235" t="s">
        <v>96</v>
      </c>
      <c r="G4" s="1235" t="s">
        <v>64</v>
      </c>
      <c r="H4" s="1235" t="s">
        <v>65</v>
      </c>
      <c r="I4" s="1235" t="s">
        <v>6</v>
      </c>
      <c r="J4" s="1235" t="s">
        <v>66</v>
      </c>
      <c r="K4" s="1236" t="s">
        <v>67</v>
      </c>
      <c r="L4" s="1236"/>
      <c r="M4" s="1236"/>
      <c r="N4" s="1236"/>
      <c r="O4" s="1236"/>
      <c r="P4" s="1236"/>
      <c r="Q4" s="1236"/>
      <c r="R4" s="1236"/>
      <c r="S4" s="1236"/>
      <c r="T4" s="1236"/>
      <c r="U4" s="1236"/>
    </row>
    <row r="5" spans="1:21" ht="12.75" customHeight="1" thickTop="1" thickBot="1">
      <c r="A5" s="1478"/>
      <c r="B5" s="1478"/>
      <c r="C5" s="1238"/>
      <c r="D5" s="1235"/>
      <c r="E5" s="1235"/>
      <c r="F5" s="1235"/>
      <c r="G5" s="1235"/>
      <c r="H5" s="1235"/>
      <c r="I5" s="1235"/>
      <c r="J5" s="1235"/>
      <c r="K5" s="1120" t="s">
        <v>49</v>
      </c>
      <c r="L5" s="1120" t="s">
        <v>51</v>
      </c>
      <c r="M5" s="1120" t="s">
        <v>34</v>
      </c>
      <c r="N5" s="1120" t="s">
        <v>36</v>
      </c>
      <c r="O5" s="1120" t="s">
        <v>38</v>
      </c>
      <c r="P5" s="1120" t="s">
        <v>40</v>
      </c>
      <c r="Q5" s="1120" t="s">
        <v>42</v>
      </c>
      <c r="R5" s="1120" t="s">
        <v>44</v>
      </c>
      <c r="S5" s="1479" t="s">
        <v>46</v>
      </c>
      <c r="T5" s="1480"/>
      <c r="U5" s="1121" t="s">
        <v>68</v>
      </c>
    </row>
    <row r="6" spans="1:21" ht="45.75" thickTop="1">
      <c r="A6" s="731"/>
      <c r="B6" s="731"/>
      <c r="C6" s="1238"/>
      <c r="D6" s="1235"/>
      <c r="E6" s="1235"/>
      <c r="F6" s="1235"/>
      <c r="G6" s="1235"/>
      <c r="H6" s="1235"/>
      <c r="I6" s="1122" t="s">
        <v>69</v>
      </c>
      <c r="J6" s="1235"/>
      <c r="K6" s="1123" t="s">
        <v>136</v>
      </c>
      <c r="L6" s="1123" t="s">
        <v>137</v>
      </c>
      <c r="M6" s="1123" t="s">
        <v>72</v>
      </c>
      <c r="N6" s="1123" t="s">
        <v>138</v>
      </c>
      <c r="O6" s="1123" t="s">
        <v>139</v>
      </c>
      <c r="P6" s="1123" t="s">
        <v>140</v>
      </c>
      <c r="Q6" s="1123" t="s">
        <v>271</v>
      </c>
      <c r="R6" s="1123" t="s">
        <v>142</v>
      </c>
      <c r="S6" s="1476" t="s">
        <v>78</v>
      </c>
      <c r="T6" s="1477"/>
      <c r="U6" s="1124" t="s">
        <v>68</v>
      </c>
    </row>
    <row r="7" spans="1:21" ht="45.75" customHeight="1">
      <c r="A7" s="731"/>
      <c r="B7" s="923"/>
      <c r="C7" s="924" t="s">
        <v>179</v>
      </c>
      <c r="D7" s="1471" t="s">
        <v>153</v>
      </c>
      <c r="E7" s="1471"/>
      <c r="F7" s="646" t="s">
        <v>154</v>
      </c>
      <c r="G7" s="969" t="s">
        <v>79</v>
      </c>
      <c r="H7" s="637" t="s">
        <v>80</v>
      </c>
      <c r="I7" s="969">
        <v>2026</v>
      </c>
      <c r="J7" s="646" t="s">
        <v>81</v>
      </c>
      <c r="K7" s="638">
        <v>0</v>
      </c>
      <c r="L7" s="638">
        <v>857000000</v>
      </c>
      <c r="M7" s="638">
        <v>575300000</v>
      </c>
      <c r="N7" s="638">
        <v>104600000</v>
      </c>
      <c r="O7" s="638">
        <v>81000000</v>
      </c>
      <c r="P7" s="638">
        <v>0</v>
      </c>
      <c r="Q7" s="638">
        <v>0</v>
      </c>
      <c r="R7" s="638">
        <v>0</v>
      </c>
      <c r="S7" s="1481">
        <v>140000000</v>
      </c>
      <c r="T7" s="1482"/>
      <c r="U7" s="1151">
        <f>SUM(K7:T7)</f>
        <v>1757900000</v>
      </c>
    </row>
    <row r="8" spans="1:21">
      <c r="A8" s="731"/>
      <c r="B8" s="923"/>
      <c r="C8" s="924" t="s">
        <v>179</v>
      </c>
      <c r="D8" s="1471" t="s">
        <v>153</v>
      </c>
      <c r="E8" s="1471"/>
      <c r="F8" s="646" t="s">
        <v>154</v>
      </c>
      <c r="G8" s="969" t="s">
        <v>79</v>
      </c>
      <c r="H8" s="637" t="s">
        <v>80</v>
      </c>
      <c r="I8" s="969">
        <v>2026</v>
      </c>
      <c r="J8" s="646" t="s">
        <v>82</v>
      </c>
      <c r="K8" s="638">
        <v>0</v>
      </c>
      <c r="L8" s="638">
        <v>857000000</v>
      </c>
      <c r="M8" s="638">
        <v>575300000</v>
      </c>
      <c r="N8" s="638">
        <v>104600000</v>
      </c>
      <c r="O8" s="638">
        <v>81000000</v>
      </c>
      <c r="P8" s="638">
        <v>0</v>
      </c>
      <c r="Q8" s="638">
        <v>0</v>
      </c>
      <c r="R8" s="638">
        <v>0</v>
      </c>
      <c r="S8" s="1481">
        <f>S7</f>
        <v>140000000</v>
      </c>
      <c r="T8" s="1482"/>
      <c r="U8" s="1151">
        <f>SUM(K8:T8)</f>
        <v>1757900000</v>
      </c>
    </row>
    <row r="9" spans="1:21">
      <c r="A9" s="731"/>
      <c r="B9" s="923"/>
      <c r="C9" s="924" t="s">
        <v>179</v>
      </c>
      <c r="D9" s="1471" t="s">
        <v>153</v>
      </c>
      <c r="E9" s="1471"/>
      <c r="F9" s="646" t="s">
        <v>154</v>
      </c>
      <c r="G9" s="969" t="s">
        <v>79</v>
      </c>
      <c r="H9" s="637" t="s">
        <v>80</v>
      </c>
      <c r="I9" s="969">
        <v>2026</v>
      </c>
      <c r="J9" s="646" t="s">
        <v>83</v>
      </c>
      <c r="K9" s="638">
        <v>0</v>
      </c>
      <c r="L9" s="638">
        <v>12239476</v>
      </c>
      <c r="M9" s="638">
        <v>106092440</v>
      </c>
      <c r="N9" s="638">
        <v>31861869</v>
      </c>
      <c r="O9" s="638">
        <v>14003159</v>
      </c>
      <c r="P9" s="638">
        <v>0</v>
      </c>
      <c r="Q9" s="638">
        <v>0</v>
      </c>
      <c r="R9" s="638">
        <v>0</v>
      </c>
      <c r="S9" s="1481">
        <v>84669605</v>
      </c>
      <c r="T9" s="1482"/>
      <c r="U9" s="1151">
        <f>SUM(K9:T9)</f>
        <v>248866549</v>
      </c>
    </row>
    <row r="10" spans="1:21">
      <c r="A10" s="731"/>
      <c r="B10" s="923"/>
      <c r="C10" s="924" t="s">
        <v>179</v>
      </c>
      <c r="D10" s="1471" t="s">
        <v>153</v>
      </c>
      <c r="E10" s="1471"/>
      <c r="F10" s="646" t="s">
        <v>154</v>
      </c>
      <c r="G10" s="969" t="s">
        <v>79</v>
      </c>
      <c r="H10" s="637" t="s">
        <v>80</v>
      </c>
      <c r="I10" s="969">
        <v>2026</v>
      </c>
      <c r="J10" s="646" t="s">
        <v>84</v>
      </c>
      <c r="K10" s="638">
        <v>0</v>
      </c>
      <c r="L10" s="638"/>
      <c r="M10" s="638"/>
      <c r="N10" s="638"/>
      <c r="O10" s="638"/>
      <c r="P10" s="638"/>
      <c r="Q10" s="638"/>
      <c r="R10" s="638"/>
      <c r="S10" s="1481"/>
      <c r="T10" s="1482"/>
      <c r="U10" s="1151"/>
    </row>
    <row r="11" spans="1:21">
      <c r="A11" s="731"/>
      <c r="B11" s="923"/>
      <c r="C11" s="924" t="s">
        <v>179</v>
      </c>
      <c r="D11" s="1471" t="s">
        <v>153</v>
      </c>
      <c r="E11" s="1471"/>
      <c r="F11" s="646" t="s">
        <v>154</v>
      </c>
      <c r="G11" s="969"/>
      <c r="H11" s="637" t="s">
        <v>68</v>
      </c>
      <c r="I11" s="969">
        <v>2026</v>
      </c>
      <c r="J11" s="646" t="s">
        <v>81</v>
      </c>
      <c r="K11" s="638">
        <v>0</v>
      </c>
      <c r="L11" s="638">
        <f>L7</f>
        <v>857000000</v>
      </c>
      <c r="M11" s="638">
        <f>M7</f>
        <v>575300000</v>
      </c>
      <c r="N11" s="638">
        <f t="shared" ref="N11" si="0">N7</f>
        <v>104600000</v>
      </c>
      <c r="O11" s="638">
        <f>O7</f>
        <v>81000000</v>
      </c>
      <c r="P11" s="638">
        <v>0</v>
      </c>
      <c r="Q11" s="638">
        <v>0</v>
      </c>
      <c r="R11" s="638">
        <v>0</v>
      </c>
      <c r="S11" s="1481">
        <f>S7</f>
        <v>140000000</v>
      </c>
      <c r="T11" s="1482"/>
      <c r="U11" s="1151">
        <f>SUM(K11:T11)</f>
        <v>1757900000</v>
      </c>
    </row>
    <row r="12" spans="1:21" ht="16.5" customHeight="1">
      <c r="A12" s="731"/>
      <c r="B12" s="923"/>
      <c r="C12" s="924" t="s">
        <v>179</v>
      </c>
      <c r="D12" s="1471" t="s">
        <v>153</v>
      </c>
      <c r="E12" s="1471"/>
      <c r="F12" s="646" t="s">
        <v>154</v>
      </c>
      <c r="G12" s="969"/>
      <c r="H12" s="637" t="s">
        <v>68</v>
      </c>
      <c r="I12" s="969">
        <v>2026</v>
      </c>
      <c r="J12" s="646" t="s">
        <v>82</v>
      </c>
      <c r="K12" s="638">
        <v>0</v>
      </c>
      <c r="L12" s="638">
        <f>L8</f>
        <v>857000000</v>
      </c>
      <c r="M12" s="638">
        <f>M8</f>
        <v>575300000</v>
      </c>
      <c r="N12" s="638">
        <f>N8</f>
        <v>104600000</v>
      </c>
      <c r="O12" s="638">
        <f>O8</f>
        <v>81000000</v>
      </c>
      <c r="P12" s="638">
        <v>0</v>
      </c>
      <c r="Q12" s="638">
        <v>0</v>
      </c>
      <c r="R12" s="638">
        <v>0</v>
      </c>
      <c r="S12" s="1481">
        <f>S8</f>
        <v>140000000</v>
      </c>
      <c r="T12" s="1482"/>
      <c r="U12" s="1151">
        <f>SUM(K12:T12)</f>
        <v>1757900000</v>
      </c>
    </row>
    <row r="13" spans="1:21" ht="16.5" customHeight="1">
      <c r="A13" s="731"/>
      <c r="B13" s="923"/>
      <c r="C13" s="924" t="s">
        <v>179</v>
      </c>
      <c r="D13" s="1471" t="s">
        <v>153</v>
      </c>
      <c r="E13" s="1471"/>
      <c r="F13" s="646" t="s">
        <v>154</v>
      </c>
      <c r="G13" s="969"/>
      <c r="H13" s="637" t="s">
        <v>68</v>
      </c>
      <c r="I13" s="969">
        <v>2026</v>
      </c>
      <c r="J13" s="646" t="s">
        <v>83</v>
      </c>
      <c r="K13" s="638">
        <v>0</v>
      </c>
      <c r="L13" s="638">
        <f>L9</f>
        <v>12239476</v>
      </c>
      <c r="M13" s="638">
        <f t="shared" ref="M13:N13" si="1">M9</f>
        <v>106092440</v>
      </c>
      <c r="N13" s="638">
        <f t="shared" si="1"/>
        <v>31861869</v>
      </c>
      <c r="O13" s="638">
        <f>O9</f>
        <v>14003159</v>
      </c>
      <c r="P13" s="638">
        <v>0</v>
      </c>
      <c r="Q13" s="638">
        <v>0</v>
      </c>
      <c r="R13" s="638">
        <v>0</v>
      </c>
      <c r="S13" s="1481">
        <f>S9</f>
        <v>84669605</v>
      </c>
      <c r="T13" s="1482"/>
      <c r="U13" s="1151">
        <f>SUM(K13:T13)</f>
        <v>248866549</v>
      </c>
    </row>
    <row r="14" spans="1:21" ht="16.5" customHeight="1">
      <c r="A14" s="731"/>
      <c r="B14" s="923"/>
      <c r="C14" s="924" t="s">
        <v>179</v>
      </c>
      <c r="D14" s="1471" t="s">
        <v>153</v>
      </c>
      <c r="E14" s="1471"/>
      <c r="F14" s="646" t="s">
        <v>154</v>
      </c>
      <c r="G14" s="969"/>
      <c r="H14" s="637" t="s">
        <v>68</v>
      </c>
      <c r="I14" s="969">
        <v>2026</v>
      </c>
      <c r="J14" s="646" t="s">
        <v>84</v>
      </c>
      <c r="K14" s="638">
        <v>0</v>
      </c>
      <c r="L14" s="638"/>
      <c r="M14" s="638"/>
      <c r="N14" s="638"/>
      <c r="O14" s="638"/>
      <c r="P14" s="638"/>
      <c r="Q14" s="638"/>
      <c r="R14" s="638"/>
      <c r="S14" s="1481"/>
      <c r="T14" s="1482"/>
      <c r="U14" s="1151"/>
    </row>
    <row r="15" spans="1:21" ht="16.5" customHeight="1">
      <c r="A15" s="731"/>
      <c r="B15" s="923"/>
      <c r="C15" s="924" t="s">
        <v>179</v>
      </c>
      <c r="D15" s="1471" t="s">
        <v>153</v>
      </c>
      <c r="E15" s="1471"/>
      <c r="F15" s="646" t="s">
        <v>89</v>
      </c>
      <c r="G15" s="969"/>
      <c r="H15" s="637"/>
      <c r="I15" s="969">
        <v>2026</v>
      </c>
      <c r="J15" s="646"/>
      <c r="K15" s="638">
        <v>0</v>
      </c>
      <c r="L15" s="638">
        <f>L12-L13</f>
        <v>844760524</v>
      </c>
      <c r="M15" s="638">
        <f t="shared" ref="M15" si="2">M12-M13</f>
        <v>469207560</v>
      </c>
      <c r="N15" s="638">
        <f>N12-N13</f>
        <v>72738131</v>
      </c>
      <c r="O15" s="638">
        <f>O12-O13</f>
        <v>66996841</v>
      </c>
      <c r="P15" s="638">
        <v>0</v>
      </c>
      <c r="Q15" s="638">
        <v>0</v>
      </c>
      <c r="R15" s="638">
        <v>0</v>
      </c>
      <c r="S15" s="1481">
        <f>S12-S13</f>
        <v>55330395</v>
      </c>
      <c r="T15" s="1482"/>
      <c r="U15" s="1151">
        <f>SUM(K15:T15)</f>
        <v>1509033451</v>
      </c>
    </row>
    <row r="16" spans="1:21" ht="18" customHeight="1" thickBot="1">
      <c r="A16" s="731"/>
      <c r="B16" s="923"/>
      <c r="C16" s="1152" t="s">
        <v>179</v>
      </c>
      <c r="D16" s="1473" t="s">
        <v>153</v>
      </c>
      <c r="E16" s="1473"/>
      <c r="F16" s="1153" t="s">
        <v>90</v>
      </c>
      <c r="G16" s="1154"/>
      <c r="H16" s="1155"/>
      <c r="I16" s="1154">
        <v>2026</v>
      </c>
      <c r="J16" s="1153"/>
      <c r="K16" s="1156">
        <v>0</v>
      </c>
      <c r="L16" s="1157">
        <f>L13/L12*100</f>
        <v>1.4281768961493584</v>
      </c>
      <c r="M16" s="1157">
        <f>M13/M12*100</f>
        <v>18.441237615157309</v>
      </c>
      <c r="N16" s="1157">
        <f>N13/N12*100</f>
        <v>30.460677820267684</v>
      </c>
      <c r="O16" s="1157">
        <f>O13/O12*100</f>
        <v>17.287850617283951</v>
      </c>
      <c r="P16" s="1157">
        <v>0</v>
      </c>
      <c r="Q16" s="1157">
        <v>0</v>
      </c>
      <c r="R16" s="1157">
        <v>0</v>
      </c>
      <c r="S16" s="1483">
        <f>S13/S12*100</f>
        <v>60.478289285714283</v>
      </c>
      <c r="T16" s="1484"/>
      <c r="U16" s="1158">
        <f>U13/U12*100</f>
        <v>14.157036748392967</v>
      </c>
    </row>
    <row r="17" spans="1:21" ht="18" customHeight="1" thickTop="1">
      <c r="A17" s="731"/>
      <c r="B17" s="923"/>
      <c r="C17" s="924" t="s">
        <v>179</v>
      </c>
      <c r="D17" s="1471" t="s">
        <v>153</v>
      </c>
      <c r="E17" s="1471"/>
      <c r="F17" s="646" t="s">
        <v>108</v>
      </c>
      <c r="G17" s="1159" t="s">
        <v>91</v>
      </c>
      <c r="H17" s="937" t="s">
        <v>108</v>
      </c>
      <c r="I17" s="935">
        <v>2026</v>
      </c>
      <c r="J17" s="937" t="s">
        <v>474</v>
      </c>
      <c r="K17" s="1160"/>
      <c r="L17" s="638"/>
      <c r="M17" s="638">
        <v>670890</v>
      </c>
      <c r="N17" s="638"/>
      <c r="O17" s="638">
        <v>3772737</v>
      </c>
      <c r="P17" s="638"/>
      <c r="Q17" s="638"/>
      <c r="R17" s="638"/>
      <c r="S17" s="1485"/>
      <c r="T17" s="1486"/>
      <c r="U17" s="1151">
        <f>SUM(K17:T17)</f>
        <v>4443627</v>
      </c>
    </row>
    <row r="18" spans="1:21" ht="16.5" customHeight="1" thickBot="1">
      <c r="A18" s="731"/>
      <c r="B18" s="923"/>
      <c r="C18" s="1152" t="s">
        <v>179</v>
      </c>
      <c r="D18" s="1473" t="s">
        <v>153</v>
      </c>
      <c r="E18" s="1473"/>
      <c r="F18" s="1153" t="s">
        <v>108</v>
      </c>
      <c r="G18" s="1159" t="s">
        <v>91</v>
      </c>
      <c r="H18" s="937" t="s">
        <v>108</v>
      </c>
      <c r="I18" s="935">
        <v>2026</v>
      </c>
      <c r="J18" s="937" t="s">
        <v>83</v>
      </c>
      <c r="K18" s="1160"/>
      <c r="L18" s="1157"/>
      <c r="M18" s="1157">
        <v>1765167</v>
      </c>
      <c r="N18" s="1157"/>
      <c r="O18" s="1157"/>
      <c r="P18" s="1157"/>
      <c r="Q18" s="1157"/>
      <c r="R18" s="1157"/>
      <c r="S18" s="1483"/>
      <c r="T18" s="1484"/>
      <c r="U18" s="1151">
        <f>SUM(K18:T18)</f>
        <v>1765167</v>
      </c>
    </row>
    <row r="19" spans="1:21" ht="16.5" customHeight="1" thickTop="1">
      <c r="A19" s="731"/>
      <c r="B19" s="1472"/>
      <c r="C19" s="1472"/>
      <c r="D19" s="1472"/>
      <c r="E19" s="923"/>
      <c r="F19" s="923"/>
      <c r="G19" s="923"/>
      <c r="H19" s="923"/>
      <c r="I19" s="923"/>
      <c r="J19" s="923"/>
      <c r="K19" s="1161">
        <f>K17-K18</f>
        <v>0</v>
      </c>
      <c r="L19" s="1161"/>
      <c r="M19" s="923"/>
      <c r="N19" s="923"/>
      <c r="O19" s="923"/>
      <c r="P19" s="923"/>
      <c r="Q19" s="923"/>
      <c r="R19" s="923"/>
      <c r="S19" s="923"/>
      <c r="T19" s="923"/>
      <c r="U19" s="1161"/>
    </row>
  </sheetData>
  <mergeCells count="38">
    <mergeCell ref="S7:T7"/>
    <mergeCell ref="S18:T18"/>
    <mergeCell ref="S17:T17"/>
    <mergeCell ref="S12:T12"/>
    <mergeCell ref="S11:T11"/>
    <mergeCell ref="S10:T10"/>
    <mergeCell ref="S13:T13"/>
    <mergeCell ref="S14:T14"/>
    <mergeCell ref="S15:T15"/>
    <mergeCell ref="S16:T16"/>
    <mergeCell ref="S8:T8"/>
    <mergeCell ref="S9:T9"/>
    <mergeCell ref="C2:S2"/>
    <mergeCell ref="C3:U3"/>
    <mergeCell ref="S6:T6"/>
    <mergeCell ref="A4:B5"/>
    <mergeCell ref="C4:C6"/>
    <mergeCell ref="D4:E6"/>
    <mergeCell ref="I4:I5"/>
    <mergeCell ref="J4:J6"/>
    <mergeCell ref="F4:F6"/>
    <mergeCell ref="G4:G6"/>
    <mergeCell ref="H4:H6"/>
    <mergeCell ref="K4:U4"/>
    <mergeCell ref="S5:T5"/>
    <mergeCell ref="D7:E7"/>
    <mergeCell ref="B19:D19"/>
    <mergeCell ref="D14:E14"/>
    <mergeCell ref="D15:E15"/>
    <mergeCell ref="D16:E16"/>
    <mergeCell ref="D11:E11"/>
    <mergeCell ref="D12:E12"/>
    <mergeCell ref="D13:E13"/>
    <mergeCell ref="D17:E17"/>
    <mergeCell ref="D18:E18"/>
    <mergeCell ref="D8:E8"/>
    <mergeCell ref="D9:E9"/>
    <mergeCell ref="D10:E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59999389629810485"/>
  </sheetPr>
  <dimension ref="A1:T18"/>
  <sheetViews>
    <sheetView topLeftCell="B1" workbookViewId="0">
      <selection activeCell="C5" sqref="C5:T7"/>
    </sheetView>
  </sheetViews>
  <sheetFormatPr defaultRowHeight="15"/>
  <cols>
    <col min="1" max="1" width="0" style="34" hidden="1" customWidth="1"/>
    <col min="2" max="2" width="4.85546875" style="34" customWidth="1"/>
    <col min="3" max="3" width="7.28515625" style="34" customWidth="1"/>
    <col min="4" max="4" width="9.140625" style="34"/>
    <col min="5" max="5" width="23.42578125" style="34" customWidth="1"/>
    <col min="6" max="6" width="6.42578125" style="34" customWidth="1"/>
    <col min="7" max="7" width="11.28515625" style="34" customWidth="1"/>
    <col min="8" max="8" width="9.140625" style="34"/>
    <col min="9" max="9" width="13" style="34" customWidth="1"/>
    <col min="10" max="10" width="7.5703125" style="34" customWidth="1"/>
    <col min="11" max="11" width="9" style="34" customWidth="1"/>
    <col min="12" max="12" width="6.85546875" style="34" customWidth="1"/>
    <col min="13" max="14" width="8.5703125" style="34" customWidth="1"/>
    <col min="15" max="15" width="9.140625" style="34"/>
    <col min="16" max="16" width="14.42578125" style="34" customWidth="1"/>
    <col min="17" max="17" width="7.7109375" style="34" customWidth="1"/>
    <col min="18" max="19" width="3.85546875" style="34" customWidth="1"/>
    <col min="20" max="20" width="13.28515625" style="34" customWidth="1"/>
    <col min="21" max="16384" width="9.140625" style="34"/>
  </cols>
  <sheetData>
    <row r="1" spans="1:20" s="1032" customFormat="1" ht="20.100000000000001" customHeight="1">
      <c r="A1" s="1030"/>
      <c r="B1" s="1030"/>
      <c r="C1" s="1031"/>
      <c r="D1" s="1030"/>
      <c r="E1" s="1030"/>
      <c r="F1" s="1030"/>
      <c r="G1" s="1030"/>
      <c r="H1" s="1030"/>
      <c r="I1" s="1030"/>
      <c r="J1" s="1030"/>
      <c r="K1" s="1030"/>
      <c r="L1" s="1030"/>
      <c r="M1" s="1030"/>
      <c r="N1" s="1030"/>
      <c r="O1" s="1030"/>
      <c r="P1" s="1030"/>
      <c r="Q1" s="1030"/>
      <c r="R1" s="1030"/>
      <c r="S1" s="1030"/>
      <c r="T1" s="1030"/>
    </row>
    <row r="2" spans="1:20" s="1032" customFormat="1" ht="18" customHeight="1">
      <c r="A2" s="1030"/>
      <c r="B2" s="1030"/>
      <c r="C2" s="1492" t="s">
        <v>135</v>
      </c>
      <c r="D2" s="1492"/>
      <c r="E2" s="1492"/>
      <c r="F2" s="1492"/>
      <c r="G2" s="1492"/>
      <c r="H2" s="1492"/>
      <c r="I2" s="1492"/>
      <c r="J2" s="1492"/>
      <c r="K2" s="1492"/>
      <c r="L2" s="1492"/>
      <c r="M2" s="1492"/>
      <c r="N2" s="1492"/>
      <c r="O2" s="1492"/>
      <c r="P2" s="1492"/>
      <c r="Q2" s="1492"/>
      <c r="R2" s="1492"/>
      <c r="S2" s="1030"/>
      <c r="T2" s="1030"/>
    </row>
    <row r="3" spans="1:20" ht="21" customHeight="1">
      <c r="A3" s="1033"/>
      <c r="B3" s="1033"/>
      <c r="C3" s="1493" t="s">
        <v>494</v>
      </c>
      <c r="D3" s="1493"/>
      <c r="E3" s="1493"/>
      <c r="F3" s="1493"/>
      <c r="G3" s="1493"/>
      <c r="H3" s="1493"/>
      <c r="I3" s="1493"/>
      <c r="J3" s="1493"/>
      <c r="K3" s="1493"/>
      <c r="L3" s="1493"/>
      <c r="M3" s="1493"/>
      <c r="N3" s="1493"/>
      <c r="O3" s="1493"/>
      <c r="P3" s="1493"/>
      <c r="Q3" s="1493"/>
      <c r="R3" s="1493"/>
      <c r="S3" s="1493"/>
      <c r="T3" s="1493"/>
    </row>
    <row r="4" spans="1:20" ht="21" customHeight="1" thickBot="1">
      <c r="A4" s="1033"/>
      <c r="B4" s="1033"/>
      <c r="C4" s="1034"/>
      <c r="D4" s="1034"/>
      <c r="E4" s="1034"/>
      <c r="F4" s="1034"/>
      <c r="G4" s="1034"/>
      <c r="H4" s="1034"/>
      <c r="I4" s="1034"/>
      <c r="J4" s="1034"/>
      <c r="K4" s="1034"/>
      <c r="L4" s="1034"/>
      <c r="M4" s="1034"/>
      <c r="N4" s="1034"/>
      <c r="O4" s="1034"/>
      <c r="P4" s="1034"/>
      <c r="Q4" s="1034"/>
      <c r="R4" s="1034"/>
      <c r="S4" s="1034"/>
      <c r="T4" s="1034" t="s">
        <v>492</v>
      </c>
    </row>
    <row r="5" spans="1:20" ht="15" customHeight="1" thickTop="1" thickBot="1">
      <c r="A5" s="1489"/>
      <c r="B5" s="1489"/>
      <c r="C5" s="1490" t="s">
        <v>63</v>
      </c>
      <c r="D5" s="1491" t="s">
        <v>25</v>
      </c>
      <c r="E5" s="1491" t="s">
        <v>96</v>
      </c>
      <c r="F5" s="1491" t="s">
        <v>64</v>
      </c>
      <c r="G5" s="1491" t="s">
        <v>65</v>
      </c>
      <c r="H5" s="1491" t="s">
        <v>6</v>
      </c>
      <c r="I5" s="1491" t="s">
        <v>66</v>
      </c>
      <c r="J5" s="1494" t="s">
        <v>67</v>
      </c>
      <c r="K5" s="1494"/>
      <c r="L5" s="1494"/>
      <c r="M5" s="1494"/>
      <c r="N5" s="1494"/>
      <c r="O5" s="1494"/>
      <c r="P5" s="1494"/>
      <c r="Q5" s="1494"/>
      <c r="R5" s="1494"/>
      <c r="S5" s="1494"/>
      <c r="T5" s="1494"/>
    </row>
    <row r="6" spans="1:20" ht="15" customHeight="1" thickTop="1" thickBot="1">
      <c r="A6" s="1489"/>
      <c r="B6" s="1489"/>
      <c r="C6" s="1490"/>
      <c r="D6" s="1491"/>
      <c r="E6" s="1491"/>
      <c r="F6" s="1491"/>
      <c r="G6" s="1491"/>
      <c r="H6" s="1491"/>
      <c r="I6" s="1491"/>
      <c r="J6" s="1162" t="s">
        <v>49</v>
      </c>
      <c r="K6" s="1162" t="s">
        <v>51</v>
      </c>
      <c r="L6" s="1162" t="s">
        <v>34</v>
      </c>
      <c r="M6" s="1162" t="s">
        <v>36</v>
      </c>
      <c r="N6" s="1162" t="s">
        <v>38</v>
      </c>
      <c r="O6" s="1162" t="s">
        <v>40</v>
      </c>
      <c r="P6" s="1162" t="s">
        <v>42</v>
      </c>
      <c r="Q6" s="1162" t="s">
        <v>44</v>
      </c>
      <c r="R6" s="1495" t="s">
        <v>46</v>
      </c>
      <c r="S6" s="1495"/>
      <c r="T6" s="1163" t="s">
        <v>68</v>
      </c>
    </row>
    <row r="7" spans="1:20" ht="51" customHeight="1" thickTop="1">
      <c r="A7" s="1033"/>
      <c r="B7" s="1033"/>
      <c r="C7" s="1490"/>
      <c r="D7" s="1491"/>
      <c r="E7" s="1491"/>
      <c r="F7" s="1491"/>
      <c r="G7" s="1491"/>
      <c r="H7" s="1164" t="s">
        <v>69</v>
      </c>
      <c r="I7" s="1491"/>
      <c r="J7" s="1165" t="s">
        <v>136</v>
      </c>
      <c r="K7" s="1165" t="s">
        <v>137</v>
      </c>
      <c r="L7" s="1165" t="s">
        <v>72</v>
      </c>
      <c r="M7" s="1165" t="s">
        <v>138</v>
      </c>
      <c r="N7" s="1165" t="s">
        <v>139</v>
      </c>
      <c r="O7" s="1165" t="s">
        <v>140</v>
      </c>
      <c r="P7" s="1165" t="s">
        <v>141</v>
      </c>
      <c r="Q7" s="1165" t="s">
        <v>142</v>
      </c>
      <c r="R7" s="1496" t="s">
        <v>78</v>
      </c>
      <c r="S7" s="1496"/>
      <c r="T7" s="1166" t="s">
        <v>68</v>
      </c>
    </row>
    <row r="8" spans="1:20" ht="15" customHeight="1">
      <c r="A8" s="1033"/>
      <c r="B8" s="1033"/>
      <c r="C8" s="1035" t="s">
        <v>179</v>
      </c>
      <c r="D8" s="1036" t="s">
        <v>155</v>
      </c>
      <c r="E8" s="1037" t="s">
        <v>156</v>
      </c>
      <c r="F8" s="1036" t="s">
        <v>79</v>
      </c>
      <c r="G8" s="1038" t="s">
        <v>80</v>
      </c>
      <c r="H8" s="1036">
        <v>2025</v>
      </c>
      <c r="I8" s="1037" t="s">
        <v>81</v>
      </c>
      <c r="J8" s="1039">
        <v>0</v>
      </c>
      <c r="K8" s="1039">
        <v>0</v>
      </c>
      <c r="L8" s="1039">
        <v>0</v>
      </c>
      <c r="M8" s="1039">
        <v>0</v>
      </c>
      <c r="N8" s="1039">
        <v>0</v>
      </c>
      <c r="O8" s="1039">
        <v>0</v>
      </c>
      <c r="P8" s="1039">
        <v>5200000000</v>
      </c>
      <c r="Q8" s="1039">
        <v>0</v>
      </c>
      <c r="R8" s="1487">
        <v>0</v>
      </c>
      <c r="S8" s="1487"/>
      <c r="T8" s="1040">
        <f>P8</f>
        <v>5200000000</v>
      </c>
    </row>
    <row r="9" spans="1:20" ht="15" customHeight="1">
      <c r="A9" s="1033"/>
      <c r="B9" s="1033"/>
      <c r="C9" s="1035" t="s">
        <v>179</v>
      </c>
      <c r="D9" s="1036" t="s">
        <v>155</v>
      </c>
      <c r="E9" s="1037" t="s">
        <v>156</v>
      </c>
      <c r="F9" s="1036" t="s">
        <v>79</v>
      </c>
      <c r="G9" s="1038" t="s">
        <v>80</v>
      </c>
      <c r="H9" s="1036">
        <v>2025</v>
      </c>
      <c r="I9" s="1037" t="s">
        <v>82</v>
      </c>
      <c r="J9" s="1039">
        <v>0</v>
      </c>
      <c r="K9" s="1039">
        <v>0</v>
      </c>
      <c r="L9" s="1039">
        <v>0</v>
      </c>
      <c r="M9" s="1039">
        <v>0</v>
      </c>
      <c r="N9" s="1039">
        <v>0</v>
      </c>
      <c r="O9" s="1039">
        <v>0</v>
      </c>
      <c r="P9" s="1039">
        <v>5200000000</v>
      </c>
      <c r="Q9" s="1039">
        <v>0</v>
      </c>
      <c r="R9" s="1487">
        <v>0</v>
      </c>
      <c r="S9" s="1487"/>
      <c r="T9" s="1040">
        <f t="shared" ref="T9:T17" si="0">P9</f>
        <v>5200000000</v>
      </c>
    </row>
    <row r="10" spans="1:20" ht="15" customHeight="1">
      <c r="A10" s="1033"/>
      <c r="B10" s="1033"/>
      <c r="C10" s="1035" t="s">
        <v>179</v>
      </c>
      <c r="D10" s="1036" t="s">
        <v>155</v>
      </c>
      <c r="E10" s="1037" t="s">
        <v>156</v>
      </c>
      <c r="F10" s="1036" t="s">
        <v>79</v>
      </c>
      <c r="G10" s="1038" t="s">
        <v>80</v>
      </c>
      <c r="H10" s="1036">
        <v>2025</v>
      </c>
      <c r="I10" s="1037" t="s">
        <v>83</v>
      </c>
      <c r="J10" s="1039">
        <v>0</v>
      </c>
      <c r="K10" s="1039">
        <v>0</v>
      </c>
      <c r="L10" s="1039">
        <v>0</v>
      </c>
      <c r="M10" s="1039">
        <v>0</v>
      </c>
      <c r="N10" s="1039">
        <v>0</v>
      </c>
      <c r="O10" s="1039">
        <v>0</v>
      </c>
      <c r="P10" s="1039">
        <v>2000000000</v>
      </c>
      <c r="Q10" s="1039">
        <v>0</v>
      </c>
      <c r="R10" s="1487">
        <v>0</v>
      </c>
      <c r="S10" s="1487"/>
      <c r="T10" s="1040">
        <f t="shared" si="0"/>
        <v>2000000000</v>
      </c>
    </row>
    <row r="11" spans="1:20" ht="15" customHeight="1">
      <c r="A11" s="1033"/>
      <c r="B11" s="1033"/>
      <c r="C11" s="1035" t="s">
        <v>179</v>
      </c>
      <c r="D11" s="1036" t="s">
        <v>155</v>
      </c>
      <c r="E11" s="1037" t="s">
        <v>156</v>
      </c>
      <c r="F11" s="1036" t="s">
        <v>79</v>
      </c>
      <c r="G11" s="1038" t="s">
        <v>80</v>
      </c>
      <c r="H11" s="1036">
        <v>2025</v>
      </c>
      <c r="I11" s="1037" t="s">
        <v>84</v>
      </c>
      <c r="J11" s="1039">
        <v>0</v>
      </c>
      <c r="K11" s="1039">
        <v>0</v>
      </c>
      <c r="L11" s="1039">
        <v>0</v>
      </c>
      <c r="M11" s="1039">
        <v>0</v>
      </c>
      <c r="N11" s="1039">
        <v>0</v>
      </c>
      <c r="O11" s="1039">
        <v>0</v>
      </c>
      <c r="P11" s="1039">
        <v>0</v>
      </c>
      <c r="Q11" s="1039">
        <v>0</v>
      </c>
      <c r="R11" s="1487">
        <v>0</v>
      </c>
      <c r="S11" s="1487"/>
      <c r="T11" s="1040">
        <f t="shared" si="0"/>
        <v>0</v>
      </c>
    </row>
    <row r="12" spans="1:20">
      <c r="A12" s="1033"/>
      <c r="B12" s="1033"/>
      <c r="C12" s="1035" t="s">
        <v>179</v>
      </c>
      <c r="D12" s="1036" t="s">
        <v>155</v>
      </c>
      <c r="E12" s="1037" t="s">
        <v>156</v>
      </c>
      <c r="F12" s="1036"/>
      <c r="G12" s="1038" t="s">
        <v>68</v>
      </c>
      <c r="H12" s="1036">
        <v>2025</v>
      </c>
      <c r="I12" s="1037" t="s">
        <v>81</v>
      </c>
      <c r="J12" s="1039">
        <v>0</v>
      </c>
      <c r="K12" s="1039">
        <v>0</v>
      </c>
      <c r="L12" s="1039">
        <v>0</v>
      </c>
      <c r="M12" s="1039">
        <v>0</v>
      </c>
      <c r="N12" s="1039">
        <v>0</v>
      </c>
      <c r="O12" s="1039">
        <v>0</v>
      </c>
      <c r="P12" s="1039">
        <f>P8</f>
        <v>5200000000</v>
      </c>
      <c r="Q12" s="1039">
        <v>0</v>
      </c>
      <c r="R12" s="1487">
        <v>0</v>
      </c>
      <c r="S12" s="1487"/>
      <c r="T12" s="1040">
        <f t="shared" si="0"/>
        <v>5200000000</v>
      </c>
    </row>
    <row r="13" spans="1:20">
      <c r="A13" s="1033"/>
      <c r="B13" s="1033"/>
      <c r="C13" s="1035" t="s">
        <v>179</v>
      </c>
      <c r="D13" s="1036" t="s">
        <v>155</v>
      </c>
      <c r="E13" s="1037" t="s">
        <v>156</v>
      </c>
      <c r="F13" s="1036"/>
      <c r="G13" s="1038" t="s">
        <v>68</v>
      </c>
      <c r="H13" s="1036">
        <v>2025</v>
      </c>
      <c r="I13" s="1037" t="s">
        <v>82</v>
      </c>
      <c r="J13" s="1039">
        <v>0</v>
      </c>
      <c r="K13" s="1039">
        <v>0</v>
      </c>
      <c r="L13" s="1039">
        <v>0</v>
      </c>
      <c r="M13" s="1039">
        <v>0</v>
      </c>
      <c r="N13" s="1039">
        <v>0</v>
      </c>
      <c r="O13" s="1039">
        <v>0</v>
      </c>
      <c r="P13" s="1039">
        <f>P9</f>
        <v>5200000000</v>
      </c>
      <c r="Q13" s="1039">
        <v>0</v>
      </c>
      <c r="R13" s="1487">
        <v>0</v>
      </c>
      <c r="S13" s="1487"/>
      <c r="T13" s="1040">
        <f t="shared" si="0"/>
        <v>5200000000</v>
      </c>
    </row>
    <row r="14" spans="1:20">
      <c r="A14" s="1033"/>
      <c r="B14" s="1033"/>
      <c r="C14" s="1035" t="s">
        <v>179</v>
      </c>
      <c r="D14" s="1036" t="s">
        <v>155</v>
      </c>
      <c r="E14" s="1037" t="s">
        <v>156</v>
      </c>
      <c r="F14" s="1036"/>
      <c r="G14" s="1038" t="s">
        <v>68</v>
      </c>
      <c r="H14" s="1036">
        <v>2025</v>
      </c>
      <c r="I14" s="1037" t="s">
        <v>83</v>
      </c>
      <c r="J14" s="1039">
        <v>0</v>
      </c>
      <c r="K14" s="1039">
        <v>0</v>
      </c>
      <c r="L14" s="1039">
        <v>0</v>
      </c>
      <c r="M14" s="1039">
        <v>0</v>
      </c>
      <c r="N14" s="1039">
        <v>0</v>
      </c>
      <c r="O14" s="1039">
        <v>0</v>
      </c>
      <c r="P14" s="1039">
        <f>P10</f>
        <v>2000000000</v>
      </c>
      <c r="Q14" s="1039">
        <v>0</v>
      </c>
      <c r="R14" s="1487">
        <v>0</v>
      </c>
      <c r="S14" s="1487"/>
      <c r="T14" s="1040">
        <f t="shared" si="0"/>
        <v>2000000000</v>
      </c>
    </row>
    <row r="15" spans="1:20">
      <c r="A15" s="1033"/>
      <c r="B15" s="1033"/>
      <c r="C15" s="1035" t="s">
        <v>179</v>
      </c>
      <c r="D15" s="1036" t="s">
        <v>155</v>
      </c>
      <c r="E15" s="1037" t="s">
        <v>156</v>
      </c>
      <c r="F15" s="1036"/>
      <c r="G15" s="1038" t="s">
        <v>68</v>
      </c>
      <c r="H15" s="1036">
        <v>2025</v>
      </c>
      <c r="I15" s="1037" t="s">
        <v>84</v>
      </c>
      <c r="J15" s="1039">
        <v>0</v>
      </c>
      <c r="K15" s="1039">
        <v>0</v>
      </c>
      <c r="L15" s="1039">
        <v>0</v>
      </c>
      <c r="M15" s="1039">
        <v>0</v>
      </c>
      <c r="N15" s="1039">
        <v>0</v>
      </c>
      <c r="O15" s="1039">
        <v>0</v>
      </c>
      <c r="P15" s="1039">
        <v>0</v>
      </c>
      <c r="Q15" s="1039">
        <v>0</v>
      </c>
      <c r="R15" s="1487">
        <v>0</v>
      </c>
      <c r="S15" s="1487"/>
      <c r="T15" s="1040">
        <f t="shared" si="0"/>
        <v>0</v>
      </c>
    </row>
    <row r="16" spans="1:20">
      <c r="A16" s="1033"/>
      <c r="B16" s="1033"/>
      <c r="C16" s="1035" t="s">
        <v>179</v>
      </c>
      <c r="D16" s="1036" t="s">
        <v>155</v>
      </c>
      <c r="E16" s="1037" t="s">
        <v>89</v>
      </c>
      <c r="F16" s="1036"/>
      <c r="G16" s="1038"/>
      <c r="H16" s="1036">
        <v>2025</v>
      </c>
      <c r="I16" s="1037"/>
      <c r="J16" s="1039">
        <v>0</v>
      </c>
      <c r="K16" s="1039">
        <v>0</v>
      </c>
      <c r="L16" s="1039">
        <v>0</v>
      </c>
      <c r="M16" s="1039">
        <v>0</v>
      </c>
      <c r="N16" s="1039">
        <v>0</v>
      </c>
      <c r="O16" s="1039">
        <v>0</v>
      </c>
      <c r="P16" s="1039">
        <f>P14-P12</f>
        <v>-3200000000</v>
      </c>
      <c r="Q16" s="1039">
        <v>0</v>
      </c>
      <c r="R16" s="1487">
        <v>0</v>
      </c>
      <c r="S16" s="1487"/>
      <c r="T16" s="1040">
        <f t="shared" si="0"/>
        <v>-3200000000</v>
      </c>
    </row>
    <row r="17" spans="1:20" ht="15" customHeight="1" thickBot="1">
      <c r="A17" s="1033"/>
      <c r="B17" s="1033"/>
      <c r="C17" s="1041" t="s">
        <v>179</v>
      </c>
      <c r="D17" s="1042" t="s">
        <v>155</v>
      </c>
      <c r="E17" s="1043" t="s">
        <v>90</v>
      </c>
      <c r="F17" s="1042"/>
      <c r="G17" s="1044"/>
      <c r="H17" s="1042">
        <v>2025</v>
      </c>
      <c r="I17" s="1043"/>
      <c r="J17" s="1045">
        <v>0</v>
      </c>
      <c r="K17" s="1045">
        <v>0</v>
      </c>
      <c r="L17" s="1045">
        <v>0</v>
      </c>
      <c r="M17" s="1045">
        <v>0</v>
      </c>
      <c r="N17" s="1045">
        <v>0</v>
      </c>
      <c r="O17" s="1045">
        <v>0</v>
      </c>
      <c r="P17" s="1045">
        <f>P14/P13*100</f>
        <v>38.461538461538467</v>
      </c>
      <c r="Q17" s="1045">
        <v>0</v>
      </c>
      <c r="R17" s="1488">
        <v>0</v>
      </c>
      <c r="S17" s="1488"/>
      <c r="T17" s="1040">
        <f t="shared" si="0"/>
        <v>38.461538461538467</v>
      </c>
    </row>
    <row r="18" spans="1:20" ht="15.75" thickTop="1"/>
  </sheetData>
  <mergeCells count="23">
    <mergeCell ref="A5:B6"/>
    <mergeCell ref="C5:C7"/>
    <mergeCell ref="D5:D7"/>
    <mergeCell ref="E5:E7"/>
    <mergeCell ref="C2:R2"/>
    <mergeCell ref="F5:F7"/>
    <mergeCell ref="G5:G7"/>
    <mergeCell ref="H5:H6"/>
    <mergeCell ref="I5:I7"/>
    <mergeCell ref="C3:T3"/>
    <mergeCell ref="J5:T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</mergeCells>
  <pageMargins left="0.7" right="0.7" top="0.75" bottom="0.75" header="0.3" footer="0.3"/>
  <pageSetup paperSize="9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59999389629810485"/>
  </sheetPr>
  <dimension ref="A1:U22"/>
  <sheetViews>
    <sheetView workbookViewId="0">
      <selection activeCell="C4" sqref="C4:U6"/>
    </sheetView>
  </sheetViews>
  <sheetFormatPr defaultRowHeight="15"/>
  <cols>
    <col min="1" max="1" width="3.42578125" style="34" customWidth="1"/>
    <col min="2" max="2" width="0.140625" style="34" customWidth="1"/>
    <col min="3" max="3" width="9" style="34" customWidth="1"/>
    <col min="4" max="4" width="1.42578125" style="34" customWidth="1"/>
    <col min="5" max="5" width="7.85546875" style="34" customWidth="1"/>
    <col min="6" max="6" width="25.140625" style="34" customWidth="1"/>
    <col min="7" max="7" width="8.140625" style="34" customWidth="1"/>
    <col min="8" max="8" width="21.140625" style="34" customWidth="1"/>
    <col min="9" max="9" width="11.5703125" style="34" customWidth="1"/>
    <col min="10" max="10" width="13.42578125" style="34" customWidth="1"/>
    <col min="11" max="11" width="11.140625" style="34" customWidth="1"/>
    <col min="12" max="15" width="16.140625" style="34" customWidth="1"/>
    <col min="16" max="16" width="11.140625" style="34" customWidth="1"/>
    <col min="17" max="18" width="16.140625" style="34" customWidth="1"/>
    <col min="19" max="19" width="2.85546875" style="34" customWidth="1"/>
    <col min="20" max="20" width="6.5703125" style="34" customWidth="1"/>
    <col min="21" max="21" width="16.140625" style="34" customWidth="1"/>
    <col min="22" max="16384" width="9.140625" style="34"/>
  </cols>
  <sheetData>
    <row r="1" spans="1:21" ht="20.100000000000001" customHeight="1">
      <c r="A1" s="62"/>
      <c r="B1" s="62"/>
      <c r="C1" s="415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1" ht="18" customHeight="1">
      <c r="A2" s="62"/>
      <c r="B2" s="62"/>
      <c r="C2" s="1501" t="s">
        <v>135</v>
      </c>
      <c r="D2" s="1501"/>
      <c r="E2" s="1501"/>
      <c r="F2" s="1501"/>
      <c r="G2" s="1501"/>
      <c r="H2" s="1501"/>
      <c r="I2" s="1501"/>
      <c r="J2" s="1501"/>
      <c r="K2" s="1501"/>
      <c r="L2" s="1501"/>
      <c r="M2" s="1501"/>
      <c r="N2" s="1501"/>
      <c r="O2" s="1501"/>
      <c r="P2" s="1501"/>
      <c r="Q2" s="1501"/>
      <c r="R2" s="1501"/>
      <c r="S2" s="1501"/>
      <c r="T2" s="62"/>
      <c r="U2" s="62"/>
    </row>
    <row r="3" spans="1:21" ht="21" customHeight="1" thickBot="1">
      <c r="A3" s="62"/>
      <c r="B3" s="62"/>
      <c r="C3" s="1502" t="s">
        <v>540</v>
      </c>
      <c r="D3" s="1502"/>
      <c r="E3" s="1502"/>
      <c r="F3" s="1502"/>
      <c r="G3" s="1502"/>
      <c r="H3" s="1502"/>
      <c r="I3" s="1502"/>
      <c r="J3" s="1502"/>
      <c r="K3" s="1502"/>
      <c r="L3" s="1502"/>
      <c r="M3" s="1502"/>
      <c r="N3" s="1502"/>
      <c r="O3" s="1502"/>
      <c r="P3" s="1502"/>
      <c r="Q3" s="1502"/>
      <c r="R3" s="1502"/>
      <c r="S3" s="1502"/>
      <c r="T3" s="1502"/>
      <c r="U3" s="1502"/>
    </row>
    <row r="4" spans="1:21" ht="21" customHeight="1" thickTop="1" thickBot="1">
      <c r="A4" s="1508"/>
      <c r="B4" s="1508"/>
      <c r="C4" s="1509" t="s">
        <v>63</v>
      </c>
      <c r="D4" s="1450" t="s">
        <v>25</v>
      </c>
      <c r="E4" s="1450"/>
      <c r="F4" s="1450" t="s">
        <v>96</v>
      </c>
      <c r="G4" s="1450" t="s">
        <v>64</v>
      </c>
      <c r="H4" s="1510" t="s">
        <v>65</v>
      </c>
      <c r="I4" s="1450" t="s">
        <v>6</v>
      </c>
      <c r="J4" s="1450" t="s">
        <v>66</v>
      </c>
      <c r="K4" s="1451" t="s">
        <v>67</v>
      </c>
      <c r="L4" s="1451"/>
      <c r="M4" s="1451"/>
      <c r="N4" s="1451"/>
      <c r="O4" s="1451"/>
      <c r="P4" s="1451"/>
      <c r="Q4" s="1451"/>
      <c r="R4" s="1451"/>
      <c r="S4" s="1451"/>
      <c r="T4" s="1451"/>
      <c r="U4" s="1451"/>
    </row>
    <row r="5" spans="1:21" ht="22.5" customHeight="1" thickTop="1" thickBot="1">
      <c r="A5" s="1508"/>
      <c r="B5" s="1508"/>
      <c r="C5" s="1509"/>
      <c r="D5" s="1450"/>
      <c r="E5" s="1450"/>
      <c r="F5" s="1450"/>
      <c r="G5" s="1450"/>
      <c r="H5" s="1510"/>
      <c r="I5" s="1450"/>
      <c r="J5" s="1450"/>
      <c r="K5" s="1143" t="s">
        <v>49</v>
      </c>
      <c r="L5" s="1143" t="s">
        <v>51</v>
      </c>
      <c r="M5" s="1143" t="s">
        <v>34</v>
      </c>
      <c r="N5" s="1143" t="s">
        <v>36</v>
      </c>
      <c r="O5" s="1143" t="s">
        <v>38</v>
      </c>
      <c r="P5" s="1143" t="s">
        <v>40</v>
      </c>
      <c r="Q5" s="1143" t="s">
        <v>42</v>
      </c>
      <c r="R5" s="1143" t="s">
        <v>44</v>
      </c>
      <c r="S5" s="1505" t="s">
        <v>46</v>
      </c>
      <c r="T5" s="1506"/>
      <c r="U5" s="1144" t="s">
        <v>68</v>
      </c>
    </row>
    <row r="6" spans="1:21" ht="30" customHeight="1" thickTop="1">
      <c r="A6" s="62"/>
      <c r="B6" s="62"/>
      <c r="C6" s="1509"/>
      <c r="D6" s="1450"/>
      <c r="E6" s="1450"/>
      <c r="F6" s="1450"/>
      <c r="G6" s="1450"/>
      <c r="H6" s="1510"/>
      <c r="I6" s="1145" t="s">
        <v>69</v>
      </c>
      <c r="J6" s="1450"/>
      <c r="K6" s="1146" t="s">
        <v>136</v>
      </c>
      <c r="L6" s="1146" t="s">
        <v>137</v>
      </c>
      <c r="M6" s="1146" t="s">
        <v>72</v>
      </c>
      <c r="N6" s="1146" t="s">
        <v>138</v>
      </c>
      <c r="O6" s="1146" t="s">
        <v>139</v>
      </c>
      <c r="P6" s="1146" t="s">
        <v>140</v>
      </c>
      <c r="Q6" s="1146" t="s">
        <v>141</v>
      </c>
      <c r="R6" s="1146" t="s">
        <v>142</v>
      </c>
      <c r="S6" s="1503" t="s">
        <v>78</v>
      </c>
      <c r="T6" s="1504"/>
      <c r="U6" s="1147" t="s">
        <v>68</v>
      </c>
    </row>
    <row r="7" spans="1:21" ht="34.5" customHeight="1">
      <c r="A7" s="62"/>
      <c r="B7" s="62"/>
      <c r="C7" s="1046" t="s">
        <v>179</v>
      </c>
      <c r="D7" s="1507" t="s">
        <v>157</v>
      </c>
      <c r="E7" s="1507"/>
      <c r="F7" s="1003" t="s">
        <v>158</v>
      </c>
      <c r="G7" s="1002" t="s">
        <v>79</v>
      </c>
      <c r="H7" s="1009" t="s">
        <v>80</v>
      </c>
      <c r="I7" s="1002">
        <v>2025</v>
      </c>
      <c r="J7" s="1003" t="s">
        <v>81</v>
      </c>
      <c r="K7" s="1004">
        <v>0</v>
      </c>
      <c r="L7" s="1004">
        <f>2519999999.65+L11</f>
        <v>4532049999.6499996</v>
      </c>
      <c r="M7" s="1004">
        <v>261800000</v>
      </c>
      <c r="N7" s="1004">
        <v>38400000</v>
      </c>
      <c r="O7" s="1004">
        <v>441000000</v>
      </c>
      <c r="P7" s="1004">
        <v>0</v>
      </c>
      <c r="Q7" s="1004">
        <v>500000000</v>
      </c>
      <c r="R7" s="1004">
        <v>18000000</v>
      </c>
      <c r="S7" s="1497">
        <v>0</v>
      </c>
      <c r="T7" s="1498"/>
      <c r="U7" s="1006">
        <f t="shared" ref="U7:U19" si="0">SUM(K7:T7)</f>
        <v>5791249999.6499996</v>
      </c>
    </row>
    <row r="8" spans="1:21" ht="15" customHeight="1">
      <c r="A8" s="62"/>
      <c r="B8" s="62"/>
      <c r="C8" s="1046" t="s">
        <v>179</v>
      </c>
      <c r="D8" s="1507" t="s">
        <v>157</v>
      </c>
      <c r="E8" s="1507"/>
      <c r="F8" s="1003" t="s">
        <v>158</v>
      </c>
      <c r="G8" s="1002" t="s">
        <v>79</v>
      </c>
      <c r="H8" s="1009" t="s">
        <v>80</v>
      </c>
      <c r="I8" s="1002">
        <v>2025</v>
      </c>
      <c r="J8" s="1003" t="s">
        <v>82</v>
      </c>
      <c r="K8" s="1004">
        <v>0</v>
      </c>
      <c r="L8" s="1004">
        <f>2519999999.65+L11</f>
        <v>4532049999.6499996</v>
      </c>
      <c r="M8" s="1004">
        <v>261800000</v>
      </c>
      <c r="N8" s="1004">
        <v>38400000</v>
      </c>
      <c r="O8" s="1004">
        <v>441000000</v>
      </c>
      <c r="P8" s="1004">
        <v>0</v>
      </c>
      <c r="Q8" s="1004">
        <v>500000000</v>
      </c>
      <c r="R8" s="1004">
        <v>18000000</v>
      </c>
      <c r="S8" s="1497">
        <v>0</v>
      </c>
      <c r="T8" s="1498"/>
      <c r="U8" s="1006">
        <f t="shared" si="0"/>
        <v>5791249999.6499996</v>
      </c>
    </row>
    <row r="9" spans="1:21" ht="15" customHeight="1">
      <c r="A9" s="62"/>
      <c r="B9" s="62"/>
      <c r="C9" s="1046" t="s">
        <v>179</v>
      </c>
      <c r="D9" s="1507" t="s">
        <v>157</v>
      </c>
      <c r="E9" s="1507"/>
      <c r="F9" s="1003" t="s">
        <v>158</v>
      </c>
      <c r="G9" s="1002" t="s">
        <v>79</v>
      </c>
      <c r="H9" s="1009" t="s">
        <v>80</v>
      </c>
      <c r="I9" s="1002">
        <v>2025</v>
      </c>
      <c r="J9" s="1003" t="s">
        <v>83</v>
      </c>
      <c r="K9" s="1004">
        <v>0</v>
      </c>
      <c r="L9" s="1004">
        <v>18375434</v>
      </c>
      <c r="M9" s="1004">
        <v>69197857</v>
      </c>
      <c r="N9" s="1004">
        <v>11457681</v>
      </c>
      <c r="O9" s="1004">
        <v>10545664</v>
      </c>
      <c r="P9" s="1004">
        <v>0</v>
      </c>
      <c r="Q9" s="1004">
        <v>8971865</v>
      </c>
      <c r="R9" s="1004">
        <v>10110464</v>
      </c>
      <c r="S9" s="1497">
        <v>0</v>
      </c>
      <c r="T9" s="1498"/>
      <c r="U9" s="1006">
        <f t="shared" si="0"/>
        <v>128658965</v>
      </c>
    </row>
    <row r="10" spans="1:21" ht="15" customHeight="1">
      <c r="A10" s="62"/>
      <c r="B10" s="62"/>
      <c r="C10" s="1046" t="s">
        <v>179</v>
      </c>
      <c r="D10" s="1507" t="s">
        <v>157</v>
      </c>
      <c r="E10" s="1507"/>
      <c r="F10" s="1003" t="s">
        <v>158</v>
      </c>
      <c r="G10" s="1002" t="s">
        <v>79</v>
      </c>
      <c r="H10" s="1009" t="s">
        <v>80</v>
      </c>
      <c r="I10" s="1002">
        <v>2025</v>
      </c>
      <c r="J10" s="1003" t="s">
        <v>84</v>
      </c>
      <c r="K10" s="1004">
        <v>0</v>
      </c>
      <c r="L10" s="1004">
        <v>26018075</v>
      </c>
      <c r="M10" s="1004">
        <v>0</v>
      </c>
      <c r="N10" s="1004">
        <v>0</v>
      </c>
      <c r="O10" s="1004">
        <v>0</v>
      </c>
      <c r="P10" s="1004">
        <v>0</v>
      </c>
      <c r="Q10" s="1004">
        <v>69369</v>
      </c>
      <c r="R10" s="1004">
        <v>0</v>
      </c>
      <c r="S10" s="1497">
        <v>0</v>
      </c>
      <c r="T10" s="1498"/>
      <c r="U10" s="1006">
        <f t="shared" si="0"/>
        <v>26087444</v>
      </c>
    </row>
    <row r="11" spans="1:21" ht="15" customHeight="1">
      <c r="A11" s="62"/>
      <c r="B11" s="62"/>
      <c r="C11" s="1046" t="s">
        <v>179</v>
      </c>
      <c r="D11" s="1507" t="s">
        <v>157</v>
      </c>
      <c r="E11" s="1507"/>
      <c r="F11" s="1003" t="s">
        <v>158</v>
      </c>
      <c r="G11" s="1002" t="s">
        <v>85</v>
      </c>
      <c r="H11" s="1009" t="s">
        <v>86</v>
      </c>
      <c r="I11" s="1002">
        <v>2025</v>
      </c>
      <c r="J11" s="1003" t="s">
        <v>81</v>
      </c>
      <c r="K11" s="1004">
        <v>0</v>
      </c>
      <c r="L11" s="1004">
        <v>2012050000</v>
      </c>
      <c r="M11" s="1004">
        <v>0</v>
      </c>
      <c r="N11" s="1004">
        <v>0</v>
      </c>
      <c r="O11" s="1004">
        <v>0</v>
      </c>
      <c r="P11" s="1004">
        <v>0</v>
      </c>
      <c r="Q11" s="1004">
        <v>0</v>
      </c>
      <c r="R11" s="1004">
        <v>0</v>
      </c>
      <c r="S11" s="1497">
        <v>0</v>
      </c>
      <c r="T11" s="1498"/>
      <c r="U11" s="1006">
        <f t="shared" si="0"/>
        <v>2012050000</v>
      </c>
    </row>
    <row r="12" spans="1:21" ht="15" customHeight="1">
      <c r="A12" s="62"/>
      <c r="B12" s="62"/>
      <c r="C12" s="1046" t="s">
        <v>179</v>
      </c>
      <c r="D12" s="1507" t="s">
        <v>157</v>
      </c>
      <c r="E12" s="1507"/>
      <c r="F12" s="1003" t="s">
        <v>158</v>
      </c>
      <c r="G12" s="1002" t="s">
        <v>85</v>
      </c>
      <c r="H12" s="1009" t="s">
        <v>86</v>
      </c>
      <c r="I12" s="1002">
        <v>2025</v>
      </c>
      <c r="J12" s="1003" t="s">
        <v>82</v>
      </c>
      <c r="K12" s="1004">
        <v>0</v>
      </c>
      <c r="L12" s="1004">
        <v>2012050000</v>
      </c>
      <c r="M12" s="1004">
        <v>0</v>
      </c>
      <c r="N12" s="1004">
        <v>0</v>
      </c>
      <c r="O12" s="1004">
        <v>0</v>
      </c>
      <c r="P12" s="1004">
        <v>0</v>
      </c>
      <c r="Q12" s="1004">
        <v>0</v>
      </c>
      <c r="R12" s="1004">
        <v>0</v>
      </c>
      <c r="S12" s="1497">
        <v>0</v>
      </c>
      <c r="T12" s="1498"/>
      <c r="U12" s="1006">
        <f t="shared" si="0"/>
        <v>2012050000</v>
      </c>
    </row>
    <row r="13" spans="1:21" ht="15" customHeight="1">
      <c r="A13" s="62"/>
      <c r="B13" s="62"/>
      <c r="C13" s="1046" t="s">
        <v>179</v>
      </c>
      <c r="D13" s="1507" t="s">
        <v>157</v>
      </c>
      <c r="E13" s="1507"/>
      <c r="F13" s="1003" t="s">
        <v>158</v>
      </c>
      <c r="G13" s="1002" t="s">
        <v>85</v>
      </c>
      <c r="H13" s="1009" t="s">
        <v>86</v>
      </c>
      <c r="I13" s="1002">
        <v>2025</v>
      </c>
      <c r="J13" s="1003" t="s">
        <v>83</v>
      </c>
      <c r="K13" s="1004"/>
      <c r="L13" s="1004">
        <v>17265920.699999999</v>
      </c>
      <c r="M13" s="1004">
        <v>0</v>
      </c>
      <c r="N13" s="1004">
        <v>0</v>
      </c>
      <c r="O13" s="1004">
        <v>0</v>
      </c>
      <c r="P13" s="1004">
        <v>0</v>
      </c>
      <c r="Q13" s="1004">
        <v>0</v>
      </c>
      <c r="R13" s="1004">
        <v>0</v>
      </c>
      <c r="S13" s="1497">
        <v>0</v>
      </c>
      <c r="T13" s="1498"/>
      <c r="U13" s="1006">
        <f t="shared" si="0"/>
        <v>17265920.699999999</v>
      </c>
    </row>
    <row r="14" spans="1:21" ht="15" customHeight="1">
      <c r="A14" s="62"/>
      <c r="B14" s="62"/>
      <c r="C14" s="1046" t="s">
        <v>179</v>
      </c>
      <c r="D14" s="1507" t="s">
        <v>157</v>
      </c>
      <c r="E14" s="1507"/>
      <c r="F14" s="1003" t="s">
        <v>158</v>
      </c>
      <c r="G14" s="1002" t="s">
        <v>85</v>
      </c>
      <c r="H14" s="1009" t="s">
        <v>86</v>
      </c>
      <c r="I14" s="1002">
        <v>2025</v>
      </c>
      <c r="J14" s="1003" t="s">
        <v>84</v>
      </c>
      <c r="K14" s="1004">
        <v>0</v>
      </c>
      <c r="L14" s="1004">
        <v>0</v>
      </c>
      <c r="M14" s="1004">
        <v>0</v>
      </c>
      <c r="N14" s="1004">
        <v>0</v>
      </c>
      <c r="O14" s="1004">
        <v>0</v>
      </c>
      <c r="P14" s="1004">
        <v>0</v>
      </c>
      <c r="Q14" s="1004">
        <v>0</v>
      </c>
      <c r="R14" s="1004">
        <v>0</v>
      </c>
      <c r="S14" s="1497">
        <v>0</v>
      </c>
      <c r="T14" s="1498"/>
      <c r="U14" s="1006">
        <f t="shared" si="0"/>
        <v>0</v>
      </c>
    </row>
    <row r="15" spans="1:21" ht="15" customHeight="1">
      <c r="A15" s="62"/>
      <c r="B15" s="62"/>
      <c r="C15" s="1046" t="s">
        <v>179</v>
      </c>
      <c r="D15" s="1507" t="s">
        <v>157</v>
      </c>
      <c r="E15" s="1507"/>
      <c r="F15" s="1003" t="s">
        <v>158</v>
      </c>
      <c r="G15" s="1002"/>
      <c r="H15" s="1009" t="s">
        <v>68</v>
      </c>
      <c r="I15" s="1002">
        <v>2025</v>
      </c>
      <c r="J15" s="1003" t="s">
        <v>81</v>
      </c>
      <c r="K15" s="1047">
        <v>0</v>
      </c>
      <c r="L15" s="1047">
        <f>L7</f>
        <v>4532049999.6499996</v>
      </c>
      <c r="M15" s="1047">
        <f>M7+M11</f>
        <v>261800000</v>
      </c>
      <c r="N15" s="1047">
        <f t="shared" ref="N15:T15" si="1">N7+N11</f>
        <v>38400000</v>
      </c>
      <c r="O15" s="1047">
        <f t="shared" si="1"/>
        <v>441000000</v>
      </c>
      <c r="P15" s="1047">
        <f t="shared" si="1"/>
        <v>0</v>
      </c>
      <c r="Q15" s="1047">
        <f t="shared" si="1"/>
        <v>500000000</v>
      </c>
      <c r="R15" s="1047">
        <f t="shared" si="1"/>
        <v>18000000</v>
      </c>
      <c r="S15" s="1047">
        <f t="shared" si="1"/>
        <v>0</v>
      </c>
      <c r="T15" s="1047">
        <f t="shared" si="1"/>
        <v>0</v>
      </c>
      <c r="U15" s="1005">
        <f t="shared" si="0"/>
        <v>5791249999.6499996</v>
      </c>
    </row>
    <row r="16" spans="1:21" ht="15" customHeight="1">
      <c r="A16" s="62"/>
      <c r="B16" s="62"/>
      <c r="C16" s="1046" t="s">
        <v>179</v>
      </c>
      <c r="D16" s="1507" t="s">
        <v>157</v>
      </c>
      <c r="E16" s="1507"/>
      <c r="F16" s="1003" t="s">
        <v>158</v>
      </c>
      <c r="G16" s="1002"/>
      <c r="H16" s="1009" t="s">
        <v>68</v>
      </c>
      <c r="I16" s="1002">
        <v>2025</v>
      </c>
      <c r="J16" s="1003" t="s">
        <v>82</v>
      </c>
      <c r="K16" s="1004">
        <f>K8+K12</f>
        <v>0</v>
      </c>
      <c r="L16" s="1047">
        <f>L8</f>
        <v>4532049999.6499996</v>
      </c>
      <c r="M16" s="1004">
        <f t="shared" ref="M16:R18" si="2">M8+M12</f>
        <v>261800000</v>
      </c>
      <c r="N16" s="1004">
        <f t="shared" si="2"/>
        <v>38400000</v>
      </c>
      <c r="O16" s="1004">
        <f t="shared" si="2"/>
        <v>441000000</v>
      </c>
      <c r="P16" s="1004">
        <f t="shared" si="2"/>
        <v>0</v>
      </c>
      <c r="Q16" s="1004">
        <f t="shared" si="2"/>
        <v>500000000</v>
      </c>
      <c r="R16" s="1004">
        <f t="shared" si="2"/>
        <v>18000000</v>
      </c>
      <c r="S16" s="1497">
        <f t="shared" ref="S16" si="3">S8</f>
        <v>0</v>
      </c>
      <c r="T16" s="1498"/>
      <c r="U16" s="1006">
        <f t="shared" si="0"/>
        <v>5791249999.6499996</v>
      </c>
    </row>
    <row r="17" spans="1:21" ht="15" customHeight="1">
      <c r="A17" s="62"/>
      <c r="B17" s="62"/>
      <c r="C17" s="1046" t="s">
        <v>179</v>
      </c>
      <c r="D17" s="1507" t="s">
        <v>157</v>
      </c>
      <c r="E17" s="1507"/>
      <c r="F17" s="1003" t="s">
        <v>158</v>
      </c>
      <c r="G17" s="1002"/>
      <c r="H17" s="1009" t="s">
        <v>68</v>
      </c>
      <c r="I17" s="1002">
        <v>2025</v>
      </c>
      <c r="J17" s="1003" t="s">
        <v>83</v>
      </c>
      <c r="K17" s="1004">
        <f>K9+K13</f>
        <v>0</v>
      </c>
      <c r="L17" s="1048">
        <f>L9+L13</f>
        <v>35641354.700000003</v>
      </c>
      <c r="M17" s="1004">
        <f t="shared" si="2"/>
        <v>69197857</v>
      </c>
      <c r="N17" s="1004">
        <f t="shared" si="2"/>
        <v>11457681</v>
      </c>
      <c r="O17" s="1004">
        <f t="shared" si="2"/>
        <v>10545664</v>
      </c>
      <c r="P17" s="1004">
        <f t="shared" si="2"/>
        <v>0</v>
      </c>
      <c r="Q17" s="1004">
        <f t="shared" si="2"/>
        <v>8971865</v>
      </c>
      <c r="R17" s="1004">
        <f t="shared" si="2"/>
        <v>10110464</v>
      </c>
      <c r="S17" s="1497">
        <f>S9+S13</f>
        <v>0</v>
      </c>
      <c r="T17" s="1498"/>
      <c r="U17" s="1006">
        <f t="shared" si="0"/>
        <v>145924885.69999999</v>
      </c>
    </row>
    <row r="18" spans="1:21" ht="15" customHeight="1">
      <c r="A18" s="62"/>
      <c r="B18" s="62"/>
      <c r="C18" s="1046" t="s">
        <v>179</v>
      </c>
      <c r="D18" s="1507" t="s">
        <v>157</v>
      </c>
      <c r="E18" s="1507"/>
      <c r="F18" s="1003" t="s">
        <v>158</v>
      </c>
      <c r="G18" s="1002"/>
      <c r="H18" s="1009" t="s">
        <v>68</v>
      </c>
      <c r="I18" s="1002">
        <v>2025</v>
      </c>
      <c r="J18" s="1003" t="s">
        <v>84</v>
      </c>
      <c r="K18" s="1004">
        <v>0</v>
      </c>
      <c r="L18" s="1048">
        <f>L10+L14</f>
        <v>26018075</v>
      </c>
      <c r="M18" s="1004">
        <f t="shared" si="2"/>
        <v>0</v>
      </c>
      <c r="N18" s="1004">
        <f t="shared" si="2"/>
        <v>0</v>
      </c>
      <c r="O18" s="1004">
        <f t="shared" si="2"/>
        <v>0</v>
      </c>
      <c r="P18" s="1004">
        <f t="shared" si="2"/>
        <v>0</v>
      </c>
      <c r="Q18" s="1004">
        <f t="shared" si="2"/>
        <v>69369</v>
      </c>
      <c r="R18" s="1004">
        <f t="shared" si="2"/>
        <v>0</v>
      </c>
      <c r="S18" s="1497">
        <f>S10+S14</f>
        <v>0</v>
      </c>
      <c r="T18" s="1498"/>
      <c r="U18" s="1006">
        <f t="shared" si="0"/>
        <v>26087444</v>
      </c>
    </row>
    <row r="19" spans="1:21" ht="15" customHeight="1">
      <c r="A19" s="62"/>
      <c r="B19" s="62"/>
      <c r="C19" s="1046" t="s">
        <v>179</v>
      </c>
      <c r="D19" s="1507" t="s">
        <v>157</v>
      </c>
      <c r="E19" s="1507"/>
      <c r="F19" s="1003" t="s">
        <v>89</v>
      </c>
      <c r="G19" s="1002"/>
      <c r="H19" s="1009"/>
      <c r="I19" s="1002">
        <v>2025</v>
      </c>
      <c r="J19" s="1003"/>
      <c r="K19" s="1004">
        <f>K8-K7</f>
        <v>0</v>
      </c>
      <c r="L19" s="1048">
        <f>L8-L7</f>
        <v>0</v>
      </c>
      <c r="M19" s="1004">
        <f>M8-M7</f>
        <v>0</v>
      </c>
      <c r="N19" s="1004">
        <f t="shared" ref="N19:R19" si="4">N8-N7</f>
        <v>0</v>
      </c>
      <c r="O19" s="1004">
        <f t="shared" si="4"/>
        <v>0</v>
      </c>
      <c r="P19" s="1004">
        <f t="shared" si="4"/>
        <v>0</v>
      </c>
      <c r="Q19" s="1004">
        <f t="shared" si="4"/>
        <v>0</v>
      </c>
      <c r="R19" s="1004">
        <f t="shared" si="4"/>
        <v>0</v>
      </c>
      <c r="S19" s="1497">
        <f>S8-S7</f>
        <v>0</v>
      </c>
      <c r="T19" s="1498"/>
      <c r="U19" s="1006">
        <f t="shared" si="0"/>
        <v>0</v>
      </c>
    </row>
    <row r="20" spans="1:21" ht="15" customHeight="1">
      <c r="A20" s="62"/>
      <c r="B20" s="62"/>
      <c r="C20" s="1046" t="s">
        <v>179</v>
      </c>
      <c r="D20" s="1507" t="s">
        <v>157</v>
      </c>
      <c r="E20" s="1507"/>
      <c r="F20" s="1003" t="s">
        <v>90</v>
      </c>
      <c r="G20" s="1002"/>
      <c r="H20" s="1009"/>
      <c r="I20" s="1002">
        <v>2025</v>
      </c>
      <c r="J20" s="1003"/>
      <c r="K20" s="1049">
        <v>0</v>
      </c>
      <c r="L20" s="1050">
        <f>(L9+L13+K13)/(L8+L12)</f>
        <v>5.4463340569224526E-3</v>
      </c>
      <c r="M20" s="1049">
        <f>(M9+M13)/(M8+M12)</f>
        <v>0.26431572574484341</v>
      </c>
      <c r="N20" s="1049">
        <f t="shared" ref="N20:R20" si="5">(N9+N13)/(N8+N12)</f>
        <v>0.298377109375</v>
      </c>
      <c r="O20" s="1049">
        <f t="shared" si="5"/>
        <v>2.391307029478458E-2</v>
      </c>
      <c r="P20" s="1049" t="e">
        <f t="shared" si="5"/>
        <v>#DIV/0!</v>
      </c>
      <c r="Q20" s="1049">
        <f t="shared" si="5"/>
        <v>1.7943730000000001E-2</v>
      </c>
      <c r="R20" s="1049">
        <f t="shared" si="5"/>
        <v>0.56169244444444444</v>
      </c>
      <c r="S20" s="1499" t="e">
        <f>S9/S8</f>
        <v>#DIV/0!</v>
      </c>
      <c r="T20" s="1500"/>
      <c r="U20" s="1051">
        <f>(U9+U13)/U16</f>
        <v>2.519747648760097E-2</v>
      </c>
    </row>
    <row r="21" spans="1:21" ht="16.5" customHeight="1">
      <c r="A21" s="62"/>
      <c r="B21" s="62"/>
      <c r="C21" s="1046" t="s">
        <v>179</v>
      </c>
      <c r="D21" s="1507" t="s">
        <v>157</v>
      </c>
      <c r="E21" s="1507"/>
      <c r="F21" s="1003" t="s">
        <v>158</v>
      </c>
      <c r="G21" s="1052" t="s">
        <v>91</v>
      </c>
      <c r="H21" s="1003" t="s">
        <v>108</v>
      </c>
      <c r="I21" s="1002">
        <v>2026</v>
      </c>
      <c r="J21" s="1003" t="s">
        <v>474</v>
      </c>
      <c r="K21" s="995"/>
      <c r="L21" s="1053">
        <v>3730624.6</v>
      </c>
      <c r="M21" s="1004"/>
      <c r="N21" s="1004"/>
      <c r="O21" s="1054">
        <v>3636915</v>
      </c>
      <c r="P21" s="1004"/>
      <c r="Q21" s="1004"/>
      <c r="R21" s="1004"/>
      <c r="S21" s="1497"/>
      <c r="T21" s="1498"/>
      <c r="U21" s="1006">
        <f>SUM(K21:T21)</f>
        <v>7367539.5999999996</v>
      </c>
    </row>
    <row r="22" spans="1:21" ht="16.5" customHeight="1">
      <c r="A22" s="62"/>
      <c r="B22" s="62"/>
      <c r="C22" s="1046" t="s">
        <v>179</v>
      </c>
      <c r="D22" s="1507" t="s">
        <v>157</v>
      </c>
      <c r="E22" s="1507"/>
      <c r="F22" s="1003" t="s">
        <v>158</v>
      </c>
      <c r="G22" s="1052" t="s">
        <v>91</v>
      </c>
      <c r="H22" s="1003" t="s">
        <v>108</v>
      </c>
      <c r="I22" s="1002">
        <v>2026</v>
      </c>
      <c r="J22" s="1003" t="s">
        <v>83</v>
      </c>
      <c r="K22" s="995"/>
      <c r="L22" s="1004"/>
      <c r="M22" s="1004"/>
      <c r="N22" s="1004"/>
      <c r="O22" s="1004"/>
      <c r="P22" s="1004"/>
      <c r="Q22" s="1004"/>
      <c r="R22" s="1004"/>
      <c r="S22" s="1497"/>
      <c r="T22" s="1498"/>
      <c r="U22" s="1006">
        <f>SUM(K22:T22)</f>
        <v>0</v>
      </c>
    </row>
  </sheetData>
  <mergeCells count="44">
    <mergeCell ref="S7:T7"/>
    <mergeCell ref="A4:B5"/>
    <mergeCell ref="C4:C6"/>
    <mergeCell ref="D4:E6"/>
    <mergeCell ref="S8:T8"/>
    <mergeCell ref="D8:E8"/>
    <mergeCell ref="I4:I5"/>
    <mergeCell ref="J4:J6"/>
    <mergeCell ref="F4:F6"/>
    <mergeCell ref="G4:G6"/>
    <mergeCell ref="H4:H6"/>
    <mergeCell ref="D7:E7"/>
    <mergeCell ref="D10:E10"/>
    <mergeCell ref="D11:E11"/>
    <mergeCell ref="D9:E9"/>
    <mergeCell ref="D21:E21"/>
    <mergeCell ref="D22:E22"/>
    <mergeCell ref="D17:E17"/>
    <mergeCell ref="D18:E18"/>
    <mergeCell ref="D19:E19"/>
    <mergeCell ref="D20:E20"/>
    <mergeCell ref="D12:E12"/>
    <mergeCell ref="D13:E13"/>
    <mergeCell ref="D14:E14"/>
    <mergeCell ref="D15:E15"/>
    <mergeCell ref="D16:E16"/>
    <mergeCell ref="C2:S2"/>
    <mergeCell ref="C3:U3"/>
    <mergeCell ref="S6:T6"/>
    <mergeCell ref="K4:U4"/>
    <mergeCell ref="S5:T5"/>
    <mergeCell ref="S22:T22"/>
    <mergeCell ref="S21:T21"/>
    <mergeCell ref="S20:T20"/>
    <mergeCell ref="S19:T19"/>
    <mergeCell ref="S18:T18"/>
    <mergeCell ref="S11:T11"/>
    <mergeCell ref="S10:T10"/>
    <mergeCell ref="S9:T9"/>
    <mergeCell ref="S17:T17"/>
    <mergeCell ref="S16:T16"/>
    <mergeCell ref="S14:T14"/>
    <mergeCell ref="S13:T13"/>
    <mergeCell ref="S12:T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79998168889431442"/>
  </sheetPr>
  <dimension ref="A1:X29"/>
  <sheetViews>
    <sheetView workbookViewId="0">
      <selection activeCell="E32" sqref="E32"/>
    </sheetView>
  </sheetViews>
  <sheetFormatPr defaultRowHeight="11.25"/>
  <cols>
    <col min="1" max="1" width="1.85546875" style="206" customWidth="1"/>
    <col min="2" max="2" width="7.5703125" style="206" customWidth="1"/>
    <col min="3" max="3" width="23.28515625" style="206" customWidth="1"/>
    <col min="4" max="4" width="7.28515625" style="244" customWidth="1"/>
    <col min="5" max="5" width="11.85546875" style="704" customWidth="1"/>
    <col min="6" max="6" width="13.5703125" style="726" customWidth="1"/>
    <col min="7" max="7" width="9.5703125" style="726" customWidth="1"/>
    <col min="8" max="8" width="7.140625" style="458" customWidth="1"/>
    <col min="9" max="9" width="12" style="458" customWidth="1"/>
    <col min="10" max="10" width="11.42578125" style="458" customWidth="1"/>
    <col min="11" max="11" width="10.28515625" style="458" customWidth="1"/>
    <col min="12" max="12" width="15.140625" style="458" customWidth="1"/>
    <col min="13" max="13" width="9.7109375" style="458" customWidth="1"/>
    <col min="14" max="14" width="9" style="458" customWidth="1"/>
    <col min="15" max="15" width="15.42578125" style="458" customWidth="1"/>
    <col min="16" max="17" width="10.42578125" style="206" customWidth="1"/>
    <col min="18" max="18" width="9.85546875" style="206" customWidth="1"/>
    <col min="19" max="19" width="9.140625" style="206" customWidth="1"/>
    <col min="20" max="20" width="9.140625" style="206"/>
    <col min="21" max="22" width="16.85546875" style="206" bestFit="1" customWidth="1"/>
    <col min="23" max="23" width="14.28515625" style="206" customWidth="1"/>
    <col min="24" max="24" width="15.85546875" style="206" customWidth="1"/>
    <col min="25" max="16384" width="9.140625" style="206"/>
  </cols>
  <sheetData>
    <row r="1" spans="1:24">
      <c r="A1" s="808"/>
      <c r="B1" s="809"/>
      <c r="C1" s="808"/>
      <c r="D1" s="808"/>
      <c r="E1" s="819"/>
      <c r="F1" s="810"/>
      <c r="G1" s="810"/>
      <c r="H1" s="810"/>
      <c r="I1" s="810"/>
      <c r="J1" s="810"/>
      <c r="K1" s="810"/>
      <c r="L1" s="810"/>
      <c r="M1" s="810"/>
      <c r="N1" s="810"/>
      <c r="O1" s="810"/>
      <c r="P1" s="808"/>
      <c r="Q1" s="808"/>
      <c r="R1" s="808"/>
      <c r="S1" s="808"/>
    </row>
    <row r="2" spans="1:24">
      <c r="A2" s="268"/>
      <c r="B2" s="1228" t="s">
        <v>500</v>
      </c>
      <c r="C2" s="1228"/>
      <c r="D2" s="1228"/>
      <c r="E2" s="1228"/>
      <c r="F2" s="1228"/>
      <c r="G2" s="1228"/>
      <c r="H2" s="1228"/>
      <c r="I2" s="1228"/>
      <c r="J2" s="1228"/>
      <c r="K2" s="1228"/>
      <c r="L2" s="1228"/>
      <c r="M2" s="1228"/>
      <c r="N2" s="1228"/>
      <c r="O2" s="1228"/>
      <c r="P2" s="1228"/>
      <c r="Q2" s="1228"/>
      <c r="R2" s="1228"/>
      <c r="S2" s="1228"/>
    </row>
    <row r="3" spans="1:24">
      <c r="A3" s="268"/>
      <c r="B3" s="1229" t="s">
        <v>494</v>
      </c>
      <c r="C3" s="1229"/>
      <c r="D3" s="1229"/>
      <c r="E3" s="1229"/>
      <c r="F3" s="1229"/>
      <c r="G3" s="1229"/>
      <c r="H3" s="1229"/>
      <c r="I3" s="1229"/>
      <c r="J3" s="1229"/>
      <c r="K3" s="1229"/>
      <c r="L3" s="1229"/>
      <c r="M3" s="1229"/>
      <c r="N3" s="1229"/>
      <c r="O3" s="1229"/>
      <c r="P3" s="1229"/>
      <c r="Q3" s="1229"/>
      <c r="R3" s="1229"/>
      <c r="S3" s="1229"/>
    </row>
    <row r="4" spans="1:24" ht="12" thickBot="1">
      <c r="A4" s="234"/>
      <c r="B4" s="1231" t="s">
        <v>1</v>
      </c>
      <c r="C4" s="1231"/>
      <c r="D4" s="1231"/>
      <c r="E4" s="1231"/>
      <c r="F4" s="1231"/>
      <c r="G4" s="1231"/>
      <c r="H4" s="1231"/>
      <c r="I4" s="1231"/>
      <c r="J4" s="1231"/>
      <c r="K4" s="1231"/>
      <c r="L4" s="1231"/>
      <c r="M4" s="1231"/>
      <c r="N4" s="1231"/>
      <c r="O4" s="1231"/>
      <c r="P4" s="1231"/>
      <c r="Q4" s="1231"/>
      <c r="R4" s="1231"/>
      <c r="S4" s="1231"/>
    </row>
    <row r="5" spans="1:24" s="707" customFormat="1" ht="11.25" customHeight="1" thickTop="1">
      <c r="A5" s="268"/>
      <c r="B5" s="1110" t="s">
        <v>113</v>
      </c>
      <c r="C5" s="1523" t="s">
        <v>160</v>
      </c>
      <c r="D5" s="1523"/>
      <c r="E5" s="1524"/>
      <c r="F5" s="1111" t="s">
        <v>3</v>
      </c>
      <c r="G5" s="1525">
        <v>17</v>
      </c>
      <c r="H5" s="1523"/>
      <c r="I5" s="1523"/>
      <c r="J5" s="1523"/>
      <c r="K5" s="1523"/>
      <c r="L5" s="1523"/>
      <c r="M5" s="1523"/>
      <c r="N5" s="1523"/>
      <c r="O5" s="1523"/>
      <c r="P5" s="1523"/>
      <c r="Q5" s="1523"/>
      <c r="R5" s="1523"/>
      <c r="S5" s="1526"/>
    </row>
    <row r="6" spans="1:24" s="707" customFormat="1" ht="11.25" customHeight="1">
      <c r="A6" s="268"/>
      <c r="B6" s="1112" t="s">
        <v>114</v>
      </c>
      <c r="C6" s="1518" t="s">
        <v>28</v>
      </c>
      <c r="D6" s="1518"/>
      <c r="E6" s="1519"/>
      <c r="F6" s="1111" t="s">
        <v>115</v>
      </c>
      <c r="G6" s="1520" t="s">
        <v>27</v>
      </c>
      <c r="H6" s="1521"/>
      <c r="I6" s="1521"/>
      <c r="J6" s="1521"/>
      <c r="K6" s="1521"/>
      <c r="L6" s="1521"/>
      <c r="M6" s="1521"/>
      <c r="N6" s="1521"/>
      <c r="O6" s="1521"/>
      <c r="P6" s="1521"/>
      <c r="Q6" s="1521"/>
      <c r="R6" s="1521"/>
      <c r="S6" s="1522"/>
    </row>
    <row r="7" spans="1:24" ht="11.25" customHeight="1">
      <c r="A7" s="268"/>
      <c r="B7" s="1515" t="s">
        <v>501</v>
      </c>
      <c r="C7" s="1516" t="s">
        <v>502</v>
      </c>
      <c r="D7" s="1517" t="s">
        <v>503</v>
      </c>
      <c r="E7" s="1511" t="s">
        <v>117</v>
      </c>
      <c r="F7" s="1511"/>
      <c r="G7" s="1511"/>
      <c r="H7" s="1511" t="s">
        <v>504</v>
      </c>
      <c r="I7" s="1511"/>
      <c r="J7" s="1511"/>
      <c r="K7" s="1511" t="s">
        <v>504</v>
      </c>
      <c r="L7" s="1511"/>
      <c r="M7" s="1511"/>
      <c r="N7" s="1511" t="s">
        <v>504</v>
      </c>
      <c r="O7" s="1511"/>
      <c r="P7" s="1511"/>
      <c r="Q7" s="1512" t="s">
        <v>505</v>
      </c>
      <c r="R7" s="1512"/>
      <c r="S7" s="1513"/>
    </row>
    <row r="8" spans="1:24" ht="63">
      <c r="A8" s="268"/>
      <c r="B8" s="1515"/>
      <c r="C8" s="1516"/>
      <c r="D8" s="1517"/>
      <c r="E8" s="480" t="s">
        <v>506</v>
      </c>
      <c r="F8" s="481" t="s">
        <v>507</v>
      </c>
      <c r="G8" s="482" t="s">
        <v>508</v>
      </c>
      <c r="H8" s="483" t="s">
        <v>509</v>
      </c>
      <c r="I8" s="481" t="s">
        <v>510</v>
      </c>
      <c r="J8" s="484" t="s">
        <v>511</v>
      </c>
      <c r="K8" s="483" t="s">
        <v>512</v>
      </c>
      <c r="L8" s="481" t="s">
        <v>513</v>
      </c>
      <c r="M8" s="484" t="s">
        <v>514</v>
      </c>
      <c r="N8" s="483" t="s">
        <v>515</v>
      </c>
      <c r="O8" s="481" t="s">
        <v>516</v>
      </c>
      <c r="P8" s="484" t="s">
        <v>517</v>
      </c>
      <c r="Q8" s="483" t="s">
        <v>518</v>
      </c>
      <c r="R8" s="481" t="s">
        <v>519</v>
      </c>
      <c r="S8" s="485" t="s">
        <v>520</v>
      </c>
    </row>
    <row r="9" spans="1:24" ht="12" thickBot="1">
      <c r="A9" s="268"/>
      <c r="B9" s="486"/>
      <c r="C9" s="487"/>
      <c r="D9" s="487"/>
      <c r="E9" s="487" t="s">
        <v>13</v>
      </c>
      <c r="F9" s="487" t="s">
        <v>14</v>
      </c>
      <c r="G9" s="487" t="s">
        <v>15</v>
      </c>
      <c r="H9" s="487" t="s">
        <v>16</v>
      </c>
      <c r="I9" s="487" t="s">
        <v>17</v>
      </c>
      <c r="J9" s="487" t="s">
        <v>18</v>
      </c>
      <c r="K9" s="487" t="s">
        <v>521</v>
      </c>
      <c r="L9" s="487" t="s">
        <v>20</v>
      </c>
      <c r="M9" s="487" t="s">
        <v>21</v>
      </c>
      <c r="N9" s="487" t="s">
        <v>522</v>
      </c>
      <c r="O9" s="487" t="s">
        <v>523</v>
      </c>
      <c r="P9" s="487" t="s">
        <v>524</v>
      </c>
      <c r="Q9" s="487" t="s">
        <v>525</v>
      </c>
      <c r="R9" s="487" t="s">
        <v>526</v>
      </c>
      <c r="S9" s="488" t="s">
        <v>527</v>
      </c>
    </row>
    <row r="10" spans="1:24" ht="25.5" customHeight="1" thickTop="1">
      <c r="A10" s="268"/>
      <c r="B10" s="1514" t="s">
        <v>528</v>
      </c>
      <c r="C10" s="1514"/>
      <c r="D10" s="194"/>
      <c r="E10" s="820"/>
      <c r="F10" s="440"/>
      <c r="G10" s="441"/>
      <c r="H10" s="440"/>
      <c r="I10" s="441"/>
      <c r="J10" s="442"/>
      <c r="K10" s="440"/>
      <c r="L10" s="441"/>
      <c r="M10" s="442"/>
      <c r="N10" s="440"/>
      <c r="O10" s="441"/>
      <c r="P10" s="223"/>
      <c r="Q10" s="194"/>
      <c r="R10" s="222"/>
      <c r="S10" s="443"/>
    </row>
    <row r="11" spans="1:24" ht="22.5">
      <c r="A11" s="268"/>
      <c r="B11" s="811" t="s">
        <v>161</v>
      </c>
      <c r="C11" s="812" t="s">
        <v>162</v>
      </c>
      <c r="D11" s="813">
        <v>41</v>
      </c>
      <c r="E11" s="821">
        <v>1579149195</v>
      </c>
      <c r="F11" s="445">
        <v>38515834.024390243</v>
      </c>
      <c r="G11" s="445">
        <f>F11/E11*100</f>
        <v>2.4390243902439024</v>
      </c>
      <c r="H11" s="446">
        <v>41</v>
      </c>
      <c r="I11" s="445">
        <v>1436200000</v>
      </c>
      <c r="J11" s="445">
        <f>I11/H11</f>
        <v>35029268.292682923</v>
      </c>
      <c r="K11" s="446">
        <v>41</v>
      </c>
      <c r="L11" s="445">
        <v>1436200000</v>
      </c>
      <c r="M11" s="445">
        <f>L11/K11</f>
        <v>35029268.292682923</v>
      </c>
      <c r="N11" s="446">
        <v>16</v>
      </c>
      <c r="O11" s="445">
        <v>567801454</v>
      </c>
      <c r="P11" s="444">
        <f>O11/N11</f>
        <v>35487590.875</v>
      </c>
      <c r="Q11" s="444">
        <f>P11-G11</f>
        <v>35487588.435975611</v>
      </c>
      <c r="R11" s="444">
        <f>P11-J11</f>
        <v>458322.58231707662</v>
      </c>
      <c r="S11" s="447">
        <f>P11-M11</f>
        <v>458322.58231707662</v>
      </c>
      <c r="V11" s="448"/>
      <c r="W11" s="448"/>
      <c r="X11" s="448"/>
    </row>
    <row r="12" spans="1:24">
      <c r="A12" s="268"/>
      <c r="B12" s="449" t="s">
        <v>529</v>
      </c>
      <c r="C12" s="450" t="s">
        <v>68</v>
      </c>
      <c r="D12" s="451"/>
      <c r="E12" s="821">
        <v>1579149195</v>
      </c>
      <c r="F12" s="452"/>
      <c r="G12" s="452"/>
      <c r="H12" s="453"/>
      <c r="I12" s="452">
        <f>I11</f>
        <v>1436200000</v>
      </c>
      <c r="J12" s="445"/>
      <c r="K12" s="453"/>
      <c r="L12" s="452">
        <f>SUM(L11:L11)</f>
        <v>1436200000</v>
      </c>
      <c r="M12" s="445"/>
      <c r="N12" s="453"/>
      <c r="O12" s="452">
        <f>SUM(O11:O11)</f>
        <v>567801454</v>
      </c>
      <c r="P12" s="444"/>
      <c r="Q12" s="444"/>
      <c r="R12" s="444"/>
      <c r="S12" s="447"/>
      <c r="V12" s="416"/>
      <c r="X12" s="416"/>
    </row>
    <row r="13" spans="1:24" ht="33.75" customHeight="1">
      <c r="A13" s="268"/>
      <c r="B13" s="1514" t="s">
        <v>530</v>
      </c>
      <c r="C13" s="1514"/>
      <c r="D13" s="822"/>
      <c r="E13" s="820"/>
      <c r="F13" s="452"/>
      <c r="G13" s="441"/>
      <c r="H13" s="446"/>
      <c r="I13" s="445"/>
      <c r="J13" s="445"/>
      <c r="K13" s="446"/>
      <c r="L13" s="445"/>
      <c r="M13" s="445"/>
      <c r="N13" s="446"/>
      <c r="O13" s="445"/>
      <c r="P13" s="444"/>
      <c r="Q13" s="444"/>
      <c r="R13" s="444"/>
      <c r="S13" s="447"/>
    </row>
    <row r="14" spans="1:24" ht="33.75" customHeight="1">
      <c r="A14" s="268"/>
      <c r="B14" s="215" t="s">
        <v>163</v>
      </c>
      <c r="C14" s="215" t="s">
        <v>164</v>
      </c>
      <c r="D14" s="451">
        <v>4</v>
      </c>
      <c r="E14" s="821">
        <v>45188000</v>
      </c>
      <c r="F14" s="452">
        <v>11297000</v>
      </c>
      <c r="G14" s="445">
        <f>F14/E14</f>
        <v>0.25</v>
      </c>
      <c r="H14" s="445"/>
      <c r="I14" s="445"/>
      <c r="J14" s="445" t="e">
        <f>I14/H14</f>
        <v>#DIV/0!</v>
      </c>
      <c r="K14" s="445">
        <f>E14</f>
        <v>45188000</v>
      </c>
      <c r="L14" s="445">
        <f>'[2]Aneksi 2.0 Planif'!H41</f>
        <v>45188000</v>
      </c>
      <c r="M14" s="445">
        <f t="shared" ref="M14:M17" si="0">L14/K14</f>
        <v>1</v>
      </c>
      <c r="N14" s="445">
        <f>E14</f>
        <v>45188000</v>
      </c>
      <c r="O14" s="445">
        <f>'[2]Aneksi 2.0 Planif'!K41</f>
        <v>45188000</v>
      </c>
      <c r="P14" s="444">
        <f t="shared" ref="P14:P18" si="1">O14/N14</f>
        <v>1</v>
      </c>
      <c r="Q14" s="444">
        <f>P14-G14</f>
        <v>0.75</v>
      </c>
      <c r="R14" s="444" t="e">
        <f t="shared" ref="R14:R18" si="2">P14-J14</f>
        <v>#DIV/0!</v>
      </c>
      <c r="S14" s="447">
        <f>P14-M14</f>
        <v>0</v>
      </c>
    </row>
    <row r="15" spans="1:24" ht="33.75" customHeight="1">
      <c r="A15" s="268"/>
      <c r="B15" s="215" t="s">
        <v>165</v>
      </c>
      <c r="C15" s="215" t="s">
        <v>166</v>
      </c>
      <c r="D15" s="451">
        <v>1</v>
      </c>
      <c r="E15" s="821">
        <v>357244</v>
      </c>
      <c r="F15" s="452">
        <v>357244</v>
      </c>
      <c r="G15" s="445">
        <f t="shared" ref="G15:G28" si="3">F15/E15</f>
        <v>1</v>
      </c>
      <c r="H15" s="445"/>
      <c r="I15" s="445"/>
      <c r="J15" s="445" t="e">
        <f t="shared" ref="J15:J18" si="4">I15/H15</f>
        <v>#DIV/0!</v>
      </c>
      <c r="K15" s="445">
        <f t="shared" ref="K15:K18" si="5">E15</f>
        <v>357244</v>
      </c>
      <c r="L15" s="445">
        <f>'[2]Aneksi 2.0 Planif'!H42</f>
        <v>357250</v>
      </c>
      <c r="M15" s="445">
        <f t="shared" si="0"/>
        <v>1.000016795243587</v>
      </c>
      <c r="N15" s="445">
        <f t="shared" ref="N15:N18" si="6">E15</f>
        <v>357244</v>
      </c>
      <c r="O15" s="445">
        <f>'[2]Aneksi 2.0 Planif'!K42</f>
        <v>357244</v>
      </c>
      <c r="P15" s="444">
        <f t="shared" si="1"/>
        <v>1</v>
      </c>
      <c r="Q15" s="444">
        <f t="shared" ref="Q15:Q18" si="7">P15-G15</f>
        <v>0</v>
      </c>
      <c r="R15" s="444" t="e">
        <f t="shared" si="2"/>
        <v>#DIV/0!</v>
      </c>
      <c r="S15" s="447">
        <f t="shared" ref="S15:S18" si="8">P15-M15</f>
        <v>-1.6795243586997799E-5</v>
      </c>
    </row>
    <row r="16" spans="1:24" ht="33.75" customHeight="1">
      <c r="A16" s="268"/>
      <c r="B16" s="215" t="s">
        <v>167</v>
      </c>
      <c r="C16" s="215" t="s">
        <v>168</v>
      </c>
      <c r="D16" s="451">
        <v>1</v>
      </c>
      <c r="E16" s="821">
        <v>140400</v>
      </c>
      <c r="F16" s="452">
        <v>140400</v>
      </c>
      <c r="G16" s="445">
        <f t="shared" si="3"/>
        <v>1</v>
      </c>
      <c r="H16" s="445"/>
      <c r="I16" s="445"/>
      <c r="J16" s="445" t="e">
        <f t="shared" si="4"/>
        <v>#DIV/0!</v>
      </c>
      <c r="K16" s="445">
        <f t="shared" si="5"/>
        <v>140400</v>
      </c>
      <c r="L16" s="445">
        <f>'[2]Aneksi 2.0 Planif'!H43</f>
        <v>140400</v>
      </c>
      <c r="M16" s="445">
        <f t="shared" si="0"/>
        <v>1</v>
      </c>
      <c r="N16" s="445">
        <f t="shared" si="6"/>
        <v>140400</v>
      </c>
      <c r="O16" s="445">
        <f>'[2]Aneksi 2.0 Planif'!K43</f>
        <v>140400</v>
      </c>
      <c r="P16" s="444">
        <f t="shared" si="1"/>
        <v>1</v>
      </c>
      <c r="Q16" s="444">
        <f t="shared" si="7"/>
        <v>0</v>
      </c>
      <c r="R16" s="444" t="e">
        <f>P16-J16</f>
        <v>#DIV/0!</v>
      </c>
      <c r="S16" s="447">
        <f t="shared" si="8"/>
        <v>0</v>
      </c>
    </row>
    <row r="17" spans="1:21" ht="33.75" customHeight="1">
      <c r="A17" s="268"/>
      <c r="B17" s="215" t="s">
        <v>169</v>
      </c>
      <c r="C17" s="215" t="s">
        <v>170</v>
      </c>
      <c r="D17" s="451">
        <v>1</v>
      </c>
      <c r="E17" s="821">
        <v>600000</v>
      </c>
      <c r="F17" s="452">
        <v>600000</v>
      </c>
      <c r="G17" s="445">
        <f t="shared" si="3"/>
        <v>1</v>
      </c>
      <c r="H17" s="445"/>
      <c r="I17" s="445"/>
      <c r="J17" s="445" t="e">
        <f t="shared" si="4"/>
        <v>#DIV/0!</v>
      </c>
      <c r="K17" s="445">
        <f t="shared" si="5"/>
        <v>600000</v>
      </c>
      <c r="L17" s="445">
        <f>'[2]Aneksi 2.0 Planif'!H44</f>
        <v>600000</v>
      </c>
      <c r="M17" s="445">
        <f t="shared" si="0"/>
        <v>1</v>
      </c>
      <c r="N17" s="445">
        <f t="shared" si="6"/>
        <v>600000</v>
      </c>
      <c r="O17" s="445">
        <f>'[2]Aneksi 2.0 Planif'!K44</f>
        <v>600000</v>
      </c>
      <c r="P17" s="444">
        <f t="shared" si="1"/>
        <v>1</v>
      </c>
      <c r="Q17" s="444">
        <f t="shared" si="7"/>
        <v>0</v>
      </c>
      <c r="R17" s="444" t="e">
        <f t="shared" si="2"/>
        <v>#DIV/0!</v>
      </c>
      <c r="S17" s="447">
        <f t="shared" si="8"/>
        <v>0</v>
      </c>
    </row>
    <row r="18" spans="1:21" ht="33.75" customHeight="1">
      <c r="A18" s="268"/>
      <c r="B18" s="215" t="s">
        <v>171</v>
      </c>
      <c r="C18" s="215" t="s">
        <v>172</v>
      </c>
      <c r="D18" s="451">
        <v>6</v>
      </c>
      <c r="E18" s="821">
        <v>31368052</v>
      </c>
      <c r="F18" s="452">
        <v>5228008.666666667</v>
      </c>
      <c r="G18" s="445">
        <f t="shared" si="3"/>
        <v>0.16666666666666669</v>
      </c>
      <c r="H18" s="445"/>
      <c r="I18" s="445"/>
      <c r="J18" s="445" t="e">
        <f t="shared" si="4"/>
        <v>#DIV/0!</v>
      </c>
      <c r="K18" s="445">
        <f t="shared" si="5"/>
        <v>31368052</v>
      </c>
      <c r="L18" s="445">
        <f>'[2]Aneksi 2.0 Planif'!H45</f>
        <v>31382750</v>
      </c>
      <c r="M18" s="445">
        <f>L18/K18</f>
        <v>1.0004685659154098</v>
      </c>
      <c r="N18" s="445">
        <f t="shared" si="6"/>
        <v>31368052</v>
      </c>
      <c r="O18" s="445">
        <f>'[2]Aneksi 2.0 Planif'!K45</f>
        <v>31368052</v>
      </c>
      <c r="P18" s="444">
        <f t="shared" si="1"/>
        <v>1</v>
      </c>
      <c r="Q18" s="444">
        <f t="shared" si="7"/>
        <v>0.83333333333333326</v>
      </c>
      <c r="R18" s="444" t="e">
        <f t="shared" si="2"/>
        <v>#DIV/0!</v>
      </c>
      <c r="S18" s="447">
        <f t="shared" si="8"/>
        <v>-4.6856591540977988E-4</v>
      </c>
      <c r="U18" s="448"/>
    </row>
    <row r="19" spans="1:21" ht="33.75" customHeight="1">
      <c r="A19" s="268"/>
      <c r="B19" s="215" t="s">
        <v>173</v>
      </c>
      <c r="C19" s="215" t="s">
        <v>174</v>
      </c>
      <c r="D19" s="451">
        <v>1</v>
      </c>
      <c r="E19" s="821">
        <v>0</v>
      </c>
      <c r="F19" s="452">
        <v>0</v>
      </c>
      <c r="G19" s="452">
        <v>0</v>
      </c>
      <c r="H19" s="452">
        <v>0</v>
      </c>
      <c r="I19" s="452">
        <v>0</v>
      </c>
      <c r="J19" s="452">
        <v>0</v>
      </c>
      <c r="K19" s="452">
        <v>0</v>
      </c>
      <c r="L19" s="452">
        <v>0</v>
      </c>
      <c r="M19" s="452">
        <v>0</v>
      </c>
      <c r="N19" s="452">
        <v>0</v>
      </c>
      <c r="O19" s="452">
        <v>0</v>
      </c>
      <c r="P19" s="452">
        <v>0</v>
      </c>
      <c r="Q19" s="452">
        <v>0</v>
      </c>
      <c r="R19" s="452">
        <v>0</v>
      </c>
      <c r="S19" s="452">
        <v>0</v>
      </c>
      <c r="U19" s="448"/>
    </row>
    <row r="20" spans="1:21" ht="33.75" customHeight="1">
      <c r="A20" s="268"/>
      <c r="B20" s="210" t="s">
        <v>175</v>
      </c>
      <c r="C20" s="215" t="s">
        <v>176</v>
      </c>
      <c r="D20" s="451">
        <v>1</v>
      </c>
      <c r="E20" s="821">
        <v>0</v>
      </c>
      <c r="F20" s="452">
        <v>0</v>
      </c>
      <c r="G20" s="452">
        <v>0</v>
      </c>
      <c r="H20" s="452">
        <v>0</v>
      </c>
      <c r="I20" s="452">
        <v>0</v>
      </c>
      <c r="J20" s="452">
        <v>0</v>
      </c>
      <c r="K20" s="452">
        <v>0</v>
      </c>
      <c r="L20" s="452">
        <v>0</v>
      </c>
      <c r="M20" s="452">
        <v>0</v>
      </c>
      <c r="N20" s="452">
        <v>0</v>
      </c>
      <c r="O20" s="452">
        <v>0</v>
      </c>
      <c r="P20" s="452">
        <v>0</v>
      </c>
      <c r="Q20" s="452">
        <v>0</v>
      </c>
      <c r="R20" s="452">
        <v>0</v>
      </c>
      <c r="S20" s="452">
        <v>0</v>
      </c>
      <c r="U20" s="448"/>
    </row>
    <row r="21" spans="1:21" s="458" customFormat="1" ht="27" customHeight="1">
      <c r="A21" s="727"/>
      <c r="B21" s="728" t="s">
        <v>177</v>
      </c>
      <c r="C21" s="729" t="s">
        <v>178</v>
      </c>
      <c r="D21" s="729">
        <v>1</v>
      </c>
      <c r="E21" s="823">
        <v>0</v>
      </c>
      <c r="F21" s="452">
        <v>0</v>
      </c>
      <c r="G21" s="445" t="e">
        <f t="shared" si="3"/>
        <v>#DIV/0!</v>
      </c>
      <c r="H21" s="445">
        <f t="shared" ref="H21" si="9">E21</f>
        <v>0</v>
      </c>
      <c r="I21" s="445">
        <f t="shared" ref="I21" si="10">F21</f>
        <v>0</v>
      </c>
      <c r="J21" s="445" t="e">
        <f t="shared" ref="J21" si="11">G21</f>
        <v>#DIV/0!</v>
      </c>
      <c r="K21" s="445">
        <f t="shared" ref="K21" si="12">H21</f>
        <v>0</v>
      </c>
      <c r="L21" s="445">
        <f t="shared" ref="L21" si="13">I21</f>
        <v>0</v>
      </c>
      <c r="M21" s="445" t="e">
        <f t="shared" ref="M21" si="14">J21</f>
        <v>#DIV/0!</v>
      </c>
      <c r="N21" s="445">
        <f t="shared" ref="N21" si="15">K21</f>
        <v>0</v>
      </c>
      <c r="O21" s="445">
        <f t="shared" ref="O21" si="16">L21</f>
        <v>0</v>
      </c>
      <c r="P21" s="445" t="e">
        <f t="shared" ref="P21" si="17">M21</f>
        <v>#DIV/0!</v>
      </c>
      <c r="Q21" s="445">
        <f t="shared" ref="Q21" si="18">N21</f>
        <v>0</v>
      </c>
      <c r="R21" s="445">
        <f t="shared" ref="R21" si="19">O21</f>
        <v>0</v>
      </c>
      <c r="S21" s="445" t="e">
        <f t="shared" ref="S21" si="20">P21</f>
        <v>#DIV/0!</v>
      </c>
    </row>
    <row r="22" spans="1:21" ht="33.75">
      <c r="A22" s="268"/>
      <c r="B22" s="469" t="s">
        <v>163</v>
      </c>
      <c r="C22" s="470" t="s">
        <v>164</v>
      </c>
      <c r="D22" s="451" t="s">
        <v>550</v>
      </c>
      <c r="E22" s="445"/>
      <c r="F22" s="445"/>
      <c r="G22" s="445"/>
      <c r="H22" s="445">
        <v>1</v>
      </c>
      <c r="I22" s="445">
        <v>32188000</v>
      </c>
      <c r="J22" s="445">
        <f>I22/H22</f>
        <v>32188000</v>
      </c>
      <c r="K22" s="445">
        <f>I22/3</f>
        <v>10729333.333333334</v>
      </c>
      <c r="L22" s="445">
        <f>I22</f>
        <v>32188000</v>
      </c>
      <c r="M22" s="445">
        <f>J22</f>
        <v>32188000</v>
      </c>
      <c r="N22" s="445">
        <v>0</v>
      </c>
      <c r="O22" s="445">
        <v>0</v>
      </c>
      <c r="P22" s="444" t="e">
        <f>O22/N22</f>
        <v>#DIV/0!</v>
      </c>
      <c r="Q22" s="444" t="e">
        <f>P22-G22</f>
        <v>#DIV/0!</v>
      </c>
      <c r="R22" s="444" t="e">
        <f>P22-J22</f>
        <v>#DIV/0!</v>
      </c>
      <c r="S22" s="447" t="e">
        <f>P22-M22</f>
        <v>#DIV/0!</v>
      </c>
    </row>
    <row r="23" spans="1:21" ht="56.25">
      <c r="A23" s="268"/>
      <c r="B23" s="469" t="s">
        <v>541</v>
      </c>
      <c r="C23" s="470" t="s">
        <v>542</v>
      </c>
      <c r="D23" s="450" t="s">
        <v>531</v>
      </c>
      <c r="E23" s="445"/>
      <c r="F23" s="445"/>
      <c r="G23" s="445"/>
      <c r="H23" s="445">
        <v>5</v>
      </c>
      <c r="I23" s="445">
        <v>5000000</v>
      </c>
      <c r="J23" s="445">
        <f t="shared" ref="J23:J27" si="21">I23/H23</f>
        <v>1000000</v>
      </c>
      <c r="K23" s="445">
        <f t="shared" ref="K23:K27" si="22">I23/3</f>
        <v>1666666.6666666667</v>
      </c>
      <c r="L23" s="445">
        <f t="shared" ref="L23:L27" si="23">I23</f>
        <v>5000000</v>
      </c>
      <c r="M23" s="445">
        <f t="shared" ref="M23:M27" si="24">J23</f>
        <v>1000000</v>
      </c>
      <c r="N23" s="445">
        <v>0</v>
      </c>
      <c r="O23" s="445">
        <v>0</v>
      </c>
      <c r="P23" s="444" t="e">
        <f t="shared" ref="P23:P27" si="25">O23/N23</f>
        <v>#DIV/0!</v>
      </c>
      <c r="Q23" s="444" t="e">
        <f t="shared" ref="Q23:Q27" si="26">P23-G23</f>
        <v>#DIV/0!</v>
      </c>
      <c r="R23" s="444" t="e">
        <f t="shared" ref="R23:R27" si="27">P23-J23</f>
        <v>#DIV/0!</v>
      </c>
      <c r="S23" s="447" t="e">
        <f t="shared" ref="S23:S27" si="28">P23-M23</f>
        <v>#DIV/0!</v>
      </c>
    </row>
    <row r="24" spans="1:21" ht="22.5">
      <c r="A24" s="268"/>
      <c r="B24" s="469" t="s">
        <v>543</v>
      </c>
      <c r="C24" s="470" t="s">
        <v>544</v>
      </c>
      <c r="D24" s="450" t="s">
        <v>531</v>
      </c>
      <c r="E24" s="1170"/>
      <c r="F24" s="445"/>
      <c r="G24" s="445"/>
      <c r="H24" s="445">
        <v>111</v>
      </c>
      <c r="I24" s="445">
        <v>8000000</v>
      </c>
      <c r="J24" s="445">
        <f t="shared" si="21"/>
        <v>72072.072072072071</v>
      </c>
      <c r="K24" s="445">
        <f t="shared" si="22"/>
        <v>2666666.6666666665</v>
      </c>
      <c r="L24" s="445">
        <f t="shared" si="23"/>
        <v>8000000</v>
      </c>
      <c r="M24" s="445">
        <f t="shared" si="24"/>
        <v>72072.072072072071</v>
      </c>
      <c r="N24" s="445">
        <v>0</v>
      </c>
      <c r="O24" s="445">
        <v>0</v>
      </c>
      <c r="P24" s="444" t="e">
        <f t="shared" si="25"/>
        <v>#DIV/0!</v>
      </c>
      <c r="Q24" s="444" t="e">
        <f t="shared" si="26"/>
        <v>#DIV/0!</v>
      </c>
      <c r="R24" s="444" t="e">
        <f t="shared" si="27"/>
        <v>#DIV/0!</v>
      </c>
      <c r="S24" s="447" t="e">
        <f t="shared" si="28"/>
        <v>#DIV/0!</v>
      </c>
    </row>
    <row r="25" spans="1:21" ht="45">
      <c r="A25" s="268"/>
      <c r="B25" s="469" t="s">
        <v>545</v>
      </c>
      <c r="C25" s="470" t="s">
        <v>546</v>
      </c>
      <c r="D25" s="450" t="s">
        <v>531</v>
      </c>
      <c r="E25" s="1170"/>
      <c r="F25" s="445"/>
      <c r="G25" s="445"/>
      <c r="H25" s="445">
        <v>5</v>
      </c>
      <c r="I25" s="445">
        <v>9000000</v>
      </c>
      <c r="J25" s="445">
        <f t="shared" si="21"/>
        <v>1800000</v>
      </c>
      <c r="K25" s="445">
        <f t="shared" si="22"/>
        <v>3000000</v>
      </c>
      <c r="L25" s="445">
        <f t="shared" si="23"/>
        <v>9000000</v>
      </c>
      <c r="M25" s="445">
        <f t="shared" si="24"/>
        <v>1800000</v>
      </c>
      <c r="N25" s="445">
        <v>0</v>
      </c>
      <c r="O25" s="445">
        <v>0</v>
      </c>
      <c r="P25" s="444" t="e">
        <f t="shared" si="25"/>
        <v>#DIV/0!</v>
      </c>
      <c r="Q25" s="444" t="e">
        <f t="shared" si="26"/>
        <v>#DIV/0!</v>
      </c>
      <c r="R25" s="444" t="e">
        <f t="shared" si="27"/>
        <v>#DIV/0!</v>
      </c>
      <c r="S25" s="447" t="e">
        <f t="shared" si="28"/>
        <v>#DIV/0!</v>
      </c>
    </row>
    <row r="26" spans="1:21" ht="22.5">
      <c r="A26" s="268"/>
      <c r="B26" s="469" t="s">
        <v>547</v>
      </c>
      <c r="C26" s="470" t="s">
        <v>548</v>
      </c>
      <c r="D26" s="450" t="s">
        <v>531</v>
      </c>
      <c r="E26" s="445"/>
      <c r="F26" s="445"/>
      <c r="G26" s="445"/>
      <c r="H26" s="445">
        <v>11</v>
      </c>
      <c r="I26" s="445">
        <v>15622000</v>
      </c>
      <c r="J26" s="445">
        <f t="shared" si="21"/>
        <v>1420181.8181818181</v>
      </c>
      <c r="K26" s="445">
        <f t="shared" si="22"/>
        <v>5207333.333333333</v>
      </c>
      <c r="L26" s="445">
        <f t="shared" si="23"/>
        <v>15622000</v>
      </c>
      <c r="M26" s="445">
        <f t="shared" si="24"/>
        <v>1420181.8181818181</v>
      </c>
      <c r="N26" s="445">
        <v>0</v>
      </c>
      <c r="O26" s="445">
        <v>0</v>
      </c>
      <c r="P26" s="444" t="e">
        <f t="shared" si="25"/>
        <v>#DIV/0!</v>
      </c>
      <c r="Q26" s="444" t="e">
        <f t="shared" si="26"/>
        <v>#DIV/0!</v>
      </c>
      <c r="R26" s="444" t="e">
        <f t="shared" si="27"/>
        <v>#DIV/0!</v>
      </c>
      <c r="S26" s="447" t="e">
        <f t="shared" si="28"/>
        <v>#DIV/0!</v>
      </c>
    </row>
    <row r="27" spans="1:21" ht="33.75">
      <c r="A27" s="268"/>
      <c r="B27" s="469" t="s">
        <v>177</v>
      </c>
      <c r="C27" s="470" t="s">
        <v>549</v>
      </c>
      <c r="D27" s="451" t="s">
        <v>728</v>
      </c>
      <c r="E27" s="824"/>
      <c r="F27" s="445"/>
      <c r="G27" s="445"/>
      <c r="H27" s="445">
        <v>2989</v>
      </c>
      <c r="I27" s="824">
        <v>10190000</v>
      </c>
      <c r="J27" s="445">
        <f t="shared" si="21"/>
        <v>3409.1669454667112</v>
      </c>
      <c r="K27" s="445">
        <f t="shared" si="22"/>
        <v>3396666.6666666665</v>
      </c>
      <c r="L27" s="445">
        <f t="shared" si="23"/>
        <v>10190000</v>
      </c>
      <c r="M27" s="445">
        <f t="shared" si="24"/>
        <v>3409.1669454667112</v>
      </c>
      <c r="N27" s="445">
        <v>0</v>
      </c>
      <c r="O27" s="445">
        <v>0</v>
      </c>
      <c r="P27" s="444" t="e">
        <f t="shared" si="25"/>
        <v>#DIV/0!</v>
      </c>
      <c r="Q27" s="444" t="e">
        <f t="shared" si="26"/>
        <v>#DIV/0!</v>
      </c>
      <c r="R27" s="444" t="e">
        <f t="shared" si="27"/>
        <v>#DIV/0!</v>
      </c>
      <c r="S27" s="447" t="e">
        <f t="shared" si="28"/>
        <v>#DIV/0!</v>
      </c>
    </row>
    <row r="28" spans="1:21">
      <c r="A28" s="268"/>
      <c r="B28" s="1167"/>
      <c r="C28" s="454">
        <v>231</v>
      </c>
      <c r="D28" s="454"/>
      <c r="E28" s="825">
        <v>77653696</v>
      </c>
      <c r="F28" s="456"/>
      <c r="G28" s="445">
        <f t="shared" si="3"/>
        <v>0</v>
      </c>
      <c r="H28" s="456"/>
      <c r="I28" s="456">
        <f>SUM(I22:I27)</f>
        <v>80000000</v>
      </c>
      <c r="J28" s="456"/>
      <c r="K28" s="456"/>
      <c r="L28" s="456"/>
      <c r="M28" s="456"/>
      <c r="N28" s="456"/>
      <c r="O28" s="456">
        <f>SUM(O22:O27)</f>
        <v>0</v>
      </c>
      <c r="P28" s="455"/>
      <c r="Q28" s="455"/>
      <c r="R28" s="455"/>
      <c r="S28" s="457"/>
    </row>
    <row r="29" spans="1:21">
      <c r="A29" s="808"/>
      <c r="B29" s="1168"/>
      <c r="C29" s="1169" t="s">
        <v>68</v>
      </c>
      <c r="D29" s="814">
        <v>0</v>
      </c>
      <c r="E29" s="826">
        <v>1656802891</v>
      </c>
      <c r="F29" s="815">
        <v>0</v>
      </c>
      <c r="G29" s="815"/>
      <c r="H29" s="815"/>
      <c r="I29" s="816">
        <f>I11+I28</f>
        <v>1516200000</v>
      </c>
      <c r="J29" s="816"/>
      <c r="K29" s="816"/>
      <c r="L29" s="816"/>
      <c r="M29" s="816"/>
      <c r="N29" s="817">
        <f>N12+N28</f>
        <v>0</v>
      </c>
      <c r="O29" s="816">
        <f>O11+O28</f>
        <v>567801454</v>
      </c>
      <c r="P29" s="818">
        <f>P12+P28</f>
        <v>0</v>
      </c>
      <c r="Q29" s="818">
        <f>Q12+Q28</f>
        <v>0</v>
      </c>
      <c r="R29" s="818">
        <f>R12+R28</f>
        <v>0</v>
      </c>
      <c r="S29" s="818">
        <f>S12+S28</f>
        <v>0</v>
      </c>
    </row>
  </sheetData>
  <mergeCells count="17">
    <mergeCell ref="C6:E6"/>
    <mergeCell ref="G6:S6"/>
    <mergeCell ref="B2:S2"/>
    <mergeCell ref="B3:S3"/>
    <mergeCell ref="B4:S4"/>
    <mergeCell ref="C5:E5"/>
    <mergeCell ref="G5:S5"/>
    <mergeCell ref="N7:P7"/>
    <mergeCell ref="Q7:S7"/>
    <mergeCell ref="B10:C10"/>
    <mergeCell ref="B13:C13"/>
    <mergeCell ref="B7:B8"/>
    <mergeCell ref="C7:C8"/>
    <mergeCell ref="D7:D8"/>
    <mergeCell ref="E7:G7"/>
    <mergeCell ref="H7:J7"/>
    <mergeCell ref="K7:M7"/>
  </mergeCells>
  <pageMargins left="0.17" right="0.17" top="0.17" bottom="0.32" header="0.3" footer="0.3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 tint="0.79998168889431442"/>
  </sheetPr>
  <dimension ref="A1:S57"/>
  <sheetViews>
    <sheetView topLeftCell="B1" workbookViewId="0">
      <selection activeCell="B59" sqref="B59"/>
    </sheetView>
  </sheetViews>
  <sheetFormatPr defaultRowHeight="15"/>
  <cols>
    <col min="1" max="1" width="3.28515625" hidden="1" customWidth="1"/>
    <col min="2" max="2" width="8.28515625" customWidth="1"/>
    <col min="3" max="3" width="23.42578125" customWidth="1"/>
    <col min="4" max="4" width="7.140625" customWidth="1"/>
    <col min="5" max="5" width="7.5703125" customWidth="1"/>
    <col min="6" max="6" width="12.7109375" customWidth="1"/>
    <col min="7" max="7" width="11.140625" customWidth="1"/>
    <col min="8" max="8" width="11.42578125" customWidth="1"/>
    <col min="9" max="9" width="13" customWidth="1"/>
    <col min="10" max="11" width="11" customWidth="1"/>
    <col min="12" max="12" width="13.5703125" customWidth="1"/>
    <col min="13" max="13" width="9.85546875" customWidth="1"/>
    <col min="14" max="14" width="8.5703125" customWidth="1"/>
    <col min="15" max="15" width="12" customWidth="1"/>
    <col min="16" max="16" width="11.42578125" customWidth="1"/>
    <col min="17" max="17" width="10.28515625" customWidth="1"/>
    <col min="18" max="18" width="11.28515625" customWidth="1"/>
    <col min="19" max="19" width="10.7109375" customWidth="1"/>
  </cols>
  <sheetData>
    <row r="1" spans="1:19">
      <c r="A1" s="2"/>
      <c r="B1" s="69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1527" t="s">
        <v>500</v>
      </c>
      <c r="C2" s="1527"/>
      <c r="D2" s="1527"/>
      <c r="E2" s="1527"/>
      <c r="F2" s="1527"/>
      <c r="G2" s="1527"/>
      <c r="H2" s="1527"/>
      <c r="I2" s="1527"/>
      <c r="J2" s="1527"/>
      <c r="K2" s="1527"/>
      <c r="L2" s="1527"/>
      <c r="M2" s="1527"/>
      <c r="N2" s="1527"/>
      <c r="O2" s="1527"/>
      <c r="P2" s="1527"/>
      <c r="Q2" s="1527"/>
      <c r="R2" s="1527"/>
      <c r="S2" s="1527"/>
    </row>
    <row r="3" spans="1:19">
      <c r="A3" s="2"/>
      <c r="B3" s="1528" t="s">
        <v>497</v>
      </c>
      <c r="C3" s="1528"/>
      <c r="D3" s="1528"/>
      <c r="E3" s="1528"/>
      <c r="F3" s="1528"/>
      <c r="G3" s="1528"/>
      <c r="H3" s="1528"/>
      <c r="I3" s="1528"/>
      <c r="J3" s="1528"/>
      <c r="K3" s="1528"/>
      <c r="L3" s="1528"/>
      <c r="M3" s="1528"/>
      <c r="N3" s="1528"/>
      <c r="O3" s="1528"/>
      <c r="P3" s="1528"/>
      <c r="Q3" s="1528"/>
      <c r="R3" s="1528"/>
      <c r="S3" s="1528"/>
    </row>
    <row r="4" spans="1:19" ht="15.75" thickBot="1">
      <c r="A4" s="694"/>
      <c r="B4" s="1529" t="s">
        <v>1</v>
      </c>
      <c r="C4" s="1529"/>
      <c r="D4" s="1529"/>
      <c r="E4" s="1529"/>
      <c r="F4" s="1529"/>
      <c r="G4" s="1529"/>
      <c r="H4" s="1529"/>
      <c r="I4" s="1529"/>
      <c r="J4" s="1529"/>
      <c r="K4" s="1529"/>
      <c r="L4" s="1529"/>
      <c r="M4" s="1529"/>
      <c r="N4" s="1529"/>
      <c r="O4" s="1529"/>
      <c r="P4" s="1529"/>
      <c r="Q4" s="1529"/>
      <c r="R4" s="1529"/>
      <c r="S4" s="1529"/>
    </row>
    <row r="5" spans="1:19" ht="21">
      <c r="A5" s="2"/>
      <c r="B5" s="476" t="s">
        <v>113</v>
      </c>
      <c r="C5" s="1530" t="s">
        <v>160</v>
      </c>
      <c r="D5" s="1530"/>
      <c r="E5" s="1530"/>
      <c r="F5" s="477" t="s">
        <v>3</v>
      </c>
      <c r="G5" s="1531" t="s">
        <v>179</v>
      </c>
      <c r="H5" s="1531"/>
      <c r="I5" s="1531"/>
      <c r="J5" s="1531"/>
      <c r="K5" s="1531"/>
      <c r="L5" s="1531"/>
      <c r="M5" s="1531"/>
      <c r="N5" s="1531"/>
      <c r="O5" s="1531"/>
      <c r="P5" s="1531"/>
      <c r="Q5" s="1531"/>
      <c r="R5" s="1531"/>
      <c r="S5" s="1532"/>
    </row>
    <row r="6" spans="1:19" ht="21">
      <c r="A6" s="2"/>
      <c r="B6" s="478" t="s">
        <v>114</v>
      </c>
      <c r="C6" s="1537" t="s">
        <v>148</v>
      </c>
      <c r="D6" s="1537"/>
      <c r="E6" s="1537"/>
      <c r="F6" s="479" t="s">
        <v>115</v>
      </c>
      <c r="G6" s="1538" t="s">
        <v>147</v>
      </c>
      <c r="H6" s="1538"/>
      <c r="I6" s="1538"/>
      <c r="J6" s="1538"/>
      <c r="K6" s="1538"/>
      <c r="L6" s="1538"/>
      <c r="M6" s="1538"/>
      <c r="N6" s="1538"/>
      <c r="O6" s="1538"/>
      <c r="P6" s="1538"/>
      <c r="Q6" s="1538"/>
      <c r="R6" s="1538"/>
      <c r="S6" s="1539"/>
    </row>
    <row r="7" spans="1:19">
      <c r="A7" s="2"/>
      <c r="B7" s="1515" t="s">
        <v>501</v>
      </c>
      <c r="C7" s="1516" t="s">
        <v>502</v>
      </c>
      <c r="D7" s="1517" t="s">
        <v>503</v>
      </c>
      <c r="E7" s="1511" t="s">
        <v>117</v>
      </c>
      <c r="F7" s="1511"/>
      <c r="G7" s="1511"/>
      <c r="H7" s="1511" t="s">
        <v>504</v>
      </c>
      <c r="I7" s="1511"/>
      <c r="J7" s="1511"/>
      <c r="K7" s="1511" t="s">
        <v>504</v>
      </c>
      <c r="L7" s="1511"/>
      <c r="M7" s="1511"/>
      <c r="N7" s="1511" t="s">
        <v>504</v>
      </c>
      <c r="O7" s="1511"/>
      <c r="P7" s="1511"/>
      <c r="Q7" s="1512" t="s">
        <v>505</v>
      </c>
      <c r="R7" s="1512"/>
      <c r="S7" s="1513"/>
    </row>
    <row r="8" spans="1:19" ht="63">
      <c r="A8" s="2"/>
      <c r="B8" s="1515"/>
      <c r="C8" s="1516"/>
      <c r="D8" s="1517"/>
      <c r="E8" s="480" t="s">
        <v>506</v>
      </c>
      <c r="F8" s="481" t="s">
        <v>507</v>
      </c>
      <c r="G8" s="482" t="s">
        <v>508</v>
      </c>
      <c r="H8" s="483" t="s">
        <v>509</v>
      </c>
      <c r="I8" s="481" t="s">
        <v>510</v>
      </c>
      <c r="J8" s="484" t="s">
        <v>511</v>
      </c>
      <c r="K8" s="483" t="s">
        <v>512</v>
      </c>
      <c r="L8" s="481" t="s">
        <v>513</v>
      </c>
      <c r="M8" s="484" t="s">
        <v>514</v>
      </c>
      <c r="N8" s="483" t="s">
        <v>515</v>
      </c>
      <c r="O8" s="481" t="s">
        <v>516</v>
      </c>
      <c r="P8" s="484" t="s">
        <v>517</v>
      </c>
      <c r="Q8" s="483" t="s">
        <v>518</v>
      </c>
      <c r="R8" s="481" t="s">
        <v>519</v>
      </c>
      <c r="S8" s="485" t="s">
        <v>520</v>
      </c>
    </row>
    <row r="9" spans="1:19" ht="15.75" thickBot="1">
      <c r="A9" s="2"/>
      <c r="B9" s="486"/>
      <c r="C9" s="487"/>
      <c r="D9" s="487"/>
      <c r="E9" s="487" t="s">
        <v>13</v>
      </c>
      <c r="F9" s="487" t="s">
        <v>14</v>
      </c>
      <c r="G9" s="487" t="s">
        <v>15</v>
      </c>
      <c r="H9" s="487" t="s">
        <v>16</v>
      </c>
      <c r="I9" s="487" t="s">
        <v>17</v>
      </c>
      <c r="J9" s="487" t="s">
        <v>18</v>
      </c>
      <c r="K9" s="487" t="s">
        <v>521</v>
      </c>
      <c r="L9" s="487" t="s">
        <v>20</v>
      </c>
      <c r="M9" s="487" t="s">
        <v>21</v>
      </c>
      <c r="N9" s="487" t="s">
        <v>522</v>
      </c>
      <c r="O9" s="487" t="s">
        <v>523</v>
      </c>
      <c r="P9" s="487" t="s">
        <v>524</v>
      </c>
      <c r="Q9" s="487" t="s">
        <v>525</v>
      </c>
      <c r="R9" s="487" t="s">
        <v>526</v>
      </c>
      <c r="S9" s="488" t="s">
        <v>527</v>
      </c>
    </row>
    <row r="10" spans="1:19" ht="23.25" customHeight="1" thickTop="1">
      <c r="A10" s="2"/>
      <c r="B10" s="1533" t="s">
        <v>528</v>
      </c>
      <c r="C10" s="1534"/>
      <c r="D10" s="632"/>
      <c r="E10" s="633"/>
      <c r="F10" s="632"/>
      <c r="G10" s="633"/>
      <c r="H10" s="632"/>
      <c r="I10" s="633"/>
      <c r="J10" s="634"/>
      <c r="K10" s="632"/>
      <c r="L10" s="633"/>
      <c r="M10" s="634"/>
      <c r="N10" s="632"/>
      <c r="O10" s="633"/>
      <c r="P10" s="634"/>
      <c r="Q10" s="632"/>
      <c r="R10" s="633"/>
      <c r="S10" s="635"/>
    </row>
    <row r="11" spans="1:19" ht="43.5" customHeight="1">
      <c r="A11" s="2"/>
      <c r="B11" s="636" t="s">
        <v>208</v>
      </c>
      <c r="C11" s="637" t="s">
        <v>209</v>
      </c>
      <c r="D11" s="637" t="s">
        <v>552</v>
      </c>
      <c r="E11" s="638">
        <v>2657</v>
      </c>
      <c r="F11" s="638">
        <v>4228517542</v>
      </c>
      <c r="G11" s="638">
        <f>F11/E11</f>
        <v>1591463.1321038764</v>
      </c>
      <c r="H11" s="639">
        <v>3096</v>
      </c>
      <c r="I11" s="640">
        <v>5369198000</v>
      </c>
      <c r="J11" s="641">
        <f>I11/H11</f>
        <v>1734237.0801033592</v>
      </c>
      <c r="K11" s="639">
        <v>3096</v>
      </c>
      <c r="L11" s="640">
        <v>5369198000</v>
      </c>
      <c r="M11" s="641">
        <f>L11/K11</f>
        <v>1734237.0801033592</v>
      </c>
      <c r="N11" s="639">
        <v>2968</v>
      </c>
      <c r="O11" s="640">
        <v>1875113594</v>
      </c>
      <c r="P11" s="641">
        <f>O11/N11</f>
        <v>631776.81738544477</v>
      </c>
      <c r="Q11" s="640">
        <f>P11-G11</f>
        <v>-959686.31471843168</v>
      </c>
      <c r="R11" s="641">
        <f>P11-J11</f>
        <v>-1102460.2627179143</v>
      </c>
      <c r="S11" s="642">
        <f>P11-M11</f>
        <v>-1102460.2627179143</v>
      </c>
    </row>
    <row r="12" spans="1:19" ht="36" customHeight="1">
      <c r="A12" s="2"/>
      <c r="B12" s="636" t="s">
        <v>210</v>
      </c>
      <c r="C12" s="637" t="s">
        <v>211</v>
      </c>
      <c r="D12" s="637" t="s">
        <v>553</v>
      </c>
      <c r="E12" s="638">
        <v>383</v>
      </c>
      <c r="F12" s="638">
        <v>1489313785</v>
      </c>
      <c r="G12" s="638">
        <f t="shared" ref="G12:G54" si="0">F12/E12</f>
        <v>3888547.7415143605</v>
      </c>
      <c r="H12" s="639">
        <v>270</v>
      </c>
      <c r="I12" s="640">
        <v>1136176000</v>
      </c>
      <c r="J12" s="641">
        <f t="shared" ref="J12:J54" si="1">I12/H12</f>
        <v>4208059.2592592593</v>
      </c>
      <c r="K12" s="639">
        <v>270</v>
      </c>
      <c r="L12" s="640">
        <v>1136176000</v>
      </c>
      <c r="M12" s="641">
        <f t="shared" ref="M12:M54" si="2">L12/K12</f>
        <v>4208059.2592592593</v>
      </c>
      <c r="N12" s="639">
        <v>254</v>
      </c>
      <c r="O12" s="640">
        <v>386106809</v>
      </c>
      <c r="P12" s="641">
        <f t="shared" ref="P12:P15" si="3">O12/N12</f>
        <v>1520105.5472440945</v>
      </c>
      <c r="Q12" s="640">
        <f t="shared" ref="Q12:Q15" si="4">P12-G12</f>
        <v>-2368442.1942702662</v>
      </c>
      <c r="R12" s="641">
        <f t="shared" ref="R12:R15" si="5">P12-J12</f>
        <v>-2687953.712015165</v>
      </c>
      <c r="S12" s="642">
        <f t="shared" ref="S12:S15" si="6">P12-M12</f>
        <v>-2687953.712015165</v>
      </c>
    </row>
    <row r="13" spans="1:19" ht="30.75" customHeight="1">
      <c r="A13" s="2"/>
      <c r="B13" s="636" t="s">
        <v>221</v>
      </c>
      <c r="C13" s="637" t="s">
        <v>222</v>
      </c>
      <c r="D13" s="637" t="s">
        <v>554</v>
      </c>
      <c r="E13" s="638">
        <v>707</v>
      </c>
      <c r="F13" s="638">
        <v>1593260213</v>
      </c>
      <c r="G13" s="638">
        <f t="shared" si="0"/>
        <v>2253550.5134370578</v>
      </c>
      <c r="H13" s="639">
        <v>759</v>
      </c>
      <c r="I13" s="640">
        <v>1545000000</v>
      </c>
      <c r="J13" s="641">
        <f t="shared" si="1"/>
        <v>2035573.1225296443</v>
      </c>
      <c r="K13" s="639">
        <v>759</v>
      </c>
      <c r="L13" s="640">
        <v>1545000000</v>
      </c>
      <c r="M13" s="641">
        <f t="shared" si="2"/>
        <v>2035573.1225296443</v>
      </c>
      <c r="N13" s="639">
        <v>725</v>
      </c>
      <c r="O13" s="640">
        <v>478071008</v>
      </c>
      <c r="P13" s="641">
        <f t="shared" si="3"/>
        <v>659408.28689655173</v>
      </c>
      <c r="Q13" s="640">
        <f t="shared" si="4"/>
        <v>-1594142.2265405061</v>
      </c>
      <c r="R13" s="641">
        <f t="shared" si="5"/>
        <v>-1376164.8356330926</v>
      </c>
      <c r="S13" s="642">
        <f t="shared" si="6"/>
        <v>-1376164.8356330926</v>
      </c>
    </row>
    <row r="14" spans="1:19" ht="30" customHeight="1">
      <c r="A14" s="2"/>
      <c r="B14" s="636" t="s">
        <v>187</v>
      </c>
      <c r="C14" s="637" t="s">
        <v>188</v>
      </c>
      <c r="D14" s="637" t="s">
        <v>555</v>
      </c>
      <c r="E14" s="638">
        <v>699</v>
      </c>
      <c r="F14" s="638">
        <v>1844580814</v>
      </c>
      <c r="G14" s="638">
        <f t="shared" si="0"/>
        <v>2638885.2846924178</v>
      </c>
      <c r="H14" s="643">
        <v>759</v>
      </c>
      <c r="I14" s="640">
        <v>1680000000</v>
      </c>
      <c r="J14" s="641">
        <f t="shared" si="1"/>
        <v>2213438.7351778657</v>
      </c>
      <c r="K14" s="643">
        <v>759</v>
      </c>
      <c r="L14" s="640">
        <v>1680000000</v>
      </c>
      <c r="M14" s="641">
        <f t="shared" si="2"/>
        <v>2213438.7351778657</v>
      </c>
      <c r="N14" s="643">
        <v>699</v>
      </c>
      <c r="O14" s="640">
        <v>492370111</v>
      </c>
      <c r="P14" s="641">
        <f t="shared" si="3"/>
        <v>704392.14735336194</v>
      </c>
      <c r="Q14" s="640">
        <f t="shared" si="4"/>
        <v>-1934493.137339056</v>
      </c>
      <c r="R14" s="641">
        <f t="shared" si="5"/>
        <v>-1509046.5878245039</v>
      </c>
      <c r="S14" s="642">
        <f t="shared" si="6"/>
        <v>-1509046.5878245039</v>
      </c>
    </row>
    <row r="15" spans="1:19" ht="33" customHeight="1">
      <c r="A15" s="2"/>
      <c r="B15" s="644" t="s">
        <v>213</v>
      </c>
      <c r="C15" s="645" t="s">
        <v>232</v>
      </c>
      <c r="D15" s="646" t="s">
        <v>556</v>
      </c>
      <c r="E15" s="638">
        <v>2543</v>
      </c>
      <c r="F15" s="647">
        <v>662456183</v>
      </c>
      <c r="G15" s="638">
        <f t="shared" si="0"/>
        <v>260501.84152575699</v>
      </c>
      <c r="H15" s="648">
        <v>3600</v>
      </c>
      <c r="I15" s="649">
        <v>258000000</v>
      </c>
      <c r="J15" s="641">
        <f t="shared" si="1"/>
        <v>71666.666666666672</v>
      </c>
      <c r="K15" s="648">
        <v>3600</v>
      </c>
      <c r="L15" s="649">
        <v>258000000</v>
      </c>
      <c r="M15" s="641">
        <f t="shared" si="2"/>
        <v>71666.666666666672</v>
      </c>
      <c r="N15" s="641">
        <v>268.58027441860463</v>
      </c>
      <c r="O15" s="640">
        <v>19248253</v>
      </c>
      <c r="P15" s="641">
        <f t="shared" si="3"/>
        <v>71666.666666666672</v>
      </c>
      <c r="Q15" s="640">
        <f t="shared" si="4"/>
        <v>-188835.1748590903</v>
      </c>
      <c r="R15" s="641">
        <f t="shared" si="5"/>
        <v>0</v>
      </c>
      <c r="S15" s="642">
        <f t="shared" si="6"/>
        <v>0</v>
      </c>
    </row>
    <row r="16" spans="1:19" ht="38.25" customHeight="1">
      <c r="A16" s="2"/>
      <c r="B16" s="644" t="s">
        <v>214</v>
      </c>
      <c r="C16" s="645" t="s">
        <v>233</v>
      </c>
      <c r="D16" s="646" t="s">
        <v>558</v>
      </c>
      <c r="E16" s="638">
        <v>802</v>
      </c>
      <c r="F16" s="647">
        <v>69999960</v>
      </c>
      <c r="G16" s="638">
        <f t="shared" si="0"/>
        <v>87281.745635910222</v>
      </c>
      <c r="H16" s="648">
        <v>1000</v>
      </c>
      <c r="I16" s="649">
        <v>50000000</v>
      </c>
      <c r="J16" s="641">
        <f t="shared" si="1"/>
        <v>50000</v>
      </c>
      <c r="K16" s="648">
        <v>1000</v>
      </c>
      <c r="L16" s="649">
        <v>50000000</v>
      </c>
      <c r="M16" s="641">
        <f t="shared" si="2"/>
        <v>50000</v>
      </c>
      <c r="N16" s="650">
        <v>0</v>
      </c>
      <c r="O16" s="647">
        <v>0</v>
      </c>
      <c r="P16" s="641"/>
      <c r="Q16" s="640"/>
      <c r="R16" s="641"/>
      <c r="S16" s="642"/>
    </row>
    <row r="17" spans="1:19" ht="27.75" customHeight="1">
      <c r="A17" s="2"/>
      <c r="B17" s="644" t="s">
        <v>215</v>
      </c>
      <c r="C17" s="645" t="s">
        <v>216</v>
      </c>
      <c r="D17" s="646" t="s">
        <v>559</v>
      </c>
      <c r="E17" s="638">
        <v>1100</v>
      </c>
      <c r="F17" s="647">
        <v>108197799</v>
      </c>
      <c r="G17" s="638">
        <f t="shared" si="0"/>
        <v>98361.635454545452</v>
      </c>
      <c r="H17" s="648">
        <v>0</v>
      </c>
      <c r="I17" s="649">
        <v>0</v>
      </c>
      <c r="J17" s="641" t="e">
        <f t="shared" si="1"/>
        <v>#DIV/0!</v>
      </c>
      <c r="K17" s="648">
        <v>0</v>
      </c>
      <c r="L17" s="649">
        <v>0</v>
      </c>
      <c r="M17" s="641" t="e">
        <f t="shared" si="2"/>
        <v>#DIV/0!</v>
      </c>
      <c r="N17" s="650">
        <v>0</v>
      </c>
      <c r="O17" s="647">
        <v>0</v>
      </c>
      <c r="P17" s="641"/>
      <c r="Q17" s="640"/>
      <c r="R17" s="641"/>
      <c r="S17" s="642"/>
    </row>
    <row r="18" spans="1:19" ht="27.75" customHeight="1">
      <c r="A18" s="2"/>
      <c r="B18" s="644" t="s">
        <v>218</v>
      </c>
      <c r="C18" s="645" t="s">
        <v>234</v>
      </c>
      <c r="D18" s="646" t="s">
        <v>563</v>
      </c>
      <c r="E18" s="638">
        <v>1</v>
      </c>
      <c r="F18" s="647">
        <v>502060000</v>
      </c>
      <c r="G18" s="638">
        <f t="shared" si="0"/>
        <v>502060000</v>
      </c>
      <c r="H18" s="648">
        <v>1</v>
      </c>
      <c r="I18" s="649">
        <v>404120000</v>
      </c>
      <c r="J18" s="641">
        <f t="shared" si="1"/>
        <v>404120000</v>
      </c>
      <c r="K18" s="648">
        <v>1</v>
      </c>
      <c r="L18" s="649">
        <v>404120000</v>
      </c>
      <c r="M18" s="641">
        <f t="shared" si="2"/>
        <v>404120000</v>
      </c>
      <c r="N18" s="650">
        <v>0</v>
      </c>
      <c r="O18" s="647">
        <v>0</v>
      </c>
      <c r="P18" s="641"/>
      <c r="Q18" s="640"/>
      <c r="R18" s="641"/>
      <c r="S18" s="642"/>
    </row>
    <row r="19" spans="1:19" ht="34.5" customHeight="1">
      <c r="A19" s="2"/>
      <c r="B19" s="644" t="s">
        <v>217</v>
      </c>
      <c r="C19" s="645" t="s">
        <v>236</v>
      </c>
      <c r="D19" s="646" t="s">
        <v>558</v>
      </c>
      <c r="E19" s="638">
        <v>0</v>
      </c>
      <c r="F19" s="647">
        <v>0</v>
      </c>
      <c r="G19" s="638" t="e">
        <f t="shared" si="0"/>
        <v>#DIV/0!</v>
      </c>
      <c r="H19" s="648">
        <v>500</v>
      </c>
      <c r="I19" s="649">
        <v>30000000</v>
      </c>
      <c r="J19" s="641">
        <f t="shared" si="1"/>
        <v>60000</v>
      </c>
      <c r="K19" s="648">
        <v>500</v>
      </c>
      <c r="L19" s="649">
        <v>30000000</v>
      </c>
      <c r="M19" s="641">
        <f t="shared" si="2"/>
        <v>60000</v>
      </c>
      <c r="N19" s="650">
        <v>0</v>
      </c>
      <c r="O19" s="647">
        <v>0</v>
      </c>
      <c r="P19" s="641"/>
      <c r="Q19" s="640"/>
      <c r="R19" s="641"/>
      <c r="S19" s="642"/>
    </row>
    <row r="20" spans="1:19" ht="37.5" customHeight="1">
      <c r="A20" s="2"/>
      <c r="B20" s="644" t="s">
        <v>684</v>
      </c>
      <c r="C20" s="645" t="s">
        <v>685</v>
      </c>
      <c r="D20" s="646" t="s">
        <v>556</v>
      </c>
      <c r="E20" s="638">
        <v>0</v>
      </c>
      <c r="F20" s="647">
        <v>0</v>
      </c>
      <c r="G20" s="638" t="e">
        <f t="shared" si="0"/>
        <v>#DIV/0!</v>
      </c>
      <c r="H20" s="648">
        <v>600</v>
      </c>
      <c r="I20" s="649">
        <v>36000000</v>
      </c>
      <c r="J20" s="641">
        <f t="shared" si="1"/>
        <v>60000</v>
      </c>
      <c r="K20" s="648">
        <v>600</v>
      </c>
      <c r="L20" s="649">
        <v>36000000</v>
      </c>
      <c r="M20" s="641">
        <f t="shared" si="2"/>
        <v>60000</v>
      </c>
      <c r="N20" s="650">
        <v>0</v>
      </c>
      <c r="O20" s="647">
        <v>0</v>
      </c>
      <c r="P20" s="641"/>
      <c r="Q20" s="640"/>
      <c r="R20" s="641"/>
      <c r="S20" s="642"/>
    </row>
    <row r="21" spans="1:19" ht="42" customHeight="1">
      <c r="A21" s="2"/>
      <c r="B21" s="644" t="s">
        <v>686</v>
      </c>
      <c r="C21" s="645" t="s">
        <v>687</v>
      </c>
      <c r="D21" s="646" t="s">
        <v>556</v>
      </c>
      <c r="E21" s="638">
        <v>0</v>
      </c>
      <c r="F21" s="647">
        <v>0</v>
      </c>
      <c r="G21" s="638" t="e">
        <f t="shared" si="0"/>
        <v>#DIV/0!</v>
      </c>
      <c r="H21" s="648">
        <v>830</v>
      </c>
      <c r="I21" s="649">
        <v>58000000</v>
      </c>
      <c r="J21" s="641">
        <f t="shared" si="1"/>
        <v>69879.518072289153</v>
      </c>
      <c r="K21" s="648">
        <v>830</v>
      </c>
      <c r="L21" s="649">
        <v>58000000</v>
      </c>
      <c r="M21" s="641">
        <f t="shared" si="2"/>
        <v>69879.518072289153</v>
      </c>
      <c r="N21" s="650">
        <v>0</v>
      </c>
      <c r="O21" s="647">
        <v>0</v>
      </c>
      <c r="P21" s="641"/>
      <c r="Q21" s="640"/>
      <c r="R21" s="641"/>
      <c r="S21" s="642"/>
    </row>
    <row r="22" spans="1:19" ht="24" customHeight="1">
      <c r="A22" s="2"/>
      <c r="B22" s="644" t="s">
        <v>688</v>
      </c>
      <c r="C22" s="645" t="s">
        <v>689</v>
      </c>
      <c r="D22" s="646" t="s">
        <v>556</v>
      </c>
      <c r="E22" s="638">
        <v>0</v>
      </c>
      <c r="F22" s="647">
        <v>0</v>
      </c>
      <c r="G22" s="638" t="e">
        <f t="shared" si="0"/>
        <v>#DIV/0!</v>
      </c>
      <c r="H22" s="648">
        <v>250</v>
      </c>
      <c r="I22" s="649">
        <v>14000000</v>
      </c>
      <c r="J22" s="641">
        <f t="shared" si="1"/>
        <v>56000</v>
      </c>
      <c r="K22" s="648">
        <v>250</v>
      </c>
      <c r="L22" s="649">
        <v>14000000</v>
      </c>
      <c r="M22" s="641">
        <f t="shared" si="2"/>
        <v>56000</v>
      </c>
      <c r="N22" s="650">
        <v>0</v>
      </c>
      <c r="O22" s="647">
        <v>0</v>
      </c>
      <c r="P22" s="641"/>
      <c r="Q22" s="640"/>
      <c r="R22" s="641"/>
      <c r="S22" s="642"/>
    </row>
    <row r="23" spans="1:19" ht="34.5" customHeight="1">
      <c r="A23" s="2"/>
      <c r="B23" s="644" t="s">
        <v>212</v>
      </c>
      <c r="C23" s="645" t="s">
        <v>249</v>
      </c>
      <c r="D23" s="646" t="s">
        <v>566</v>
      </c>
      <c r="E23" s="638">
        <v>5</v>
      </c>
      <c r="F23" s="647">
        <v>3986947598</v>
      </c>
      <c r="G23" s="638">
        <f t="shared" si="0"/>
        <v>797389519.60000002</v>
      </c>
      <c r="H23" s="648">
        <v>12</v>
      </c>
      <c r="I23" s="649">
        <v>3434887024</v>
      </c>
      <c r="J23" s="641">
        <f t="shared" si="1"/>
        <v>286240585.33333331</v>
      </c>
      <c r="K23" s="648">
        <v>12</v>
      </c>
      <c r="L23" s="649">
        <v>3434887024</v>
      </c>
      <c r="M23" s="641">
        <f t="shared" si="2"/>
        <v>286240585.33333331</v>
      </c>
      <c r="N23" s="641">
        <f>O23/M23</f>
        <v>5.8540597625198636</v>
      </c>
      <c r="O23" s="647">
        <v>1675669493</v>
      </c>
      <c r="P23" s="641">
        <f t="shared" ref="P23:P55" si="7">O23/N23</f>
        <v>286240585.33333331</v>
      </c>
      <c r="Q23" s="640">
        <f t="shared" ref="Q23:Q55" si="8">P23-G23</f>
        <v>-511148934.26666671</v>
      </c>
      <c r="R23" s="641">
        <f t="shared" ref="R23:R55" si="9">P23-J23</f>
        <v>0</v>
      </c>
      <c r="S23" s="642">
        <f t="shared" ref="S23:S55" si="10">P23-M23</f>
        <v>0</v>
      </c>
    </row>
    <row r="24" spans="1:19" ht="48" customHeight="1">
      <c r="A24" s="2"/>
      <c r="B24" s="644" t="s">
        <v>177</v>
      </c>
      <c r="C24" s="645" t="s">
        <v>690</v>
      </c>
      <c r="D24" s="646" t="s">
        <v>563</v>
      </c>
      <c r="E24" s="638">
        <v>0</v>
      </c>
      <c r="F24" s="647">
        <v>0</v>
      </c>
      <c r="G24" s="638" t="e">
        <f t="shared" si="0"/>
        <v>#DIV/0!</v>
      </c>
      <c r="H24" s="648">
        <v>1500</v>
      </c>
      <c r="I24" s="649">
        <v>60000000</v>
      </c>
      <c r="J24" s="641">
        <f t="shared" si="1"/>
        <v>40000</v>
      </c>
      <c r="K24" s="648">
        <v>1500</v>
      </c>
      <c r="L24" s="649">
        <v>60000000</v>
      </c>
      <c r="M24" s="641">
        <f t="shared" si="2"/>
        <v>40000</v>
      </c>
      <c r="N24" s="641">
        <v>0</v>
      </c>
      <c r="O24" s="647">
        <v>0</v>
      </c>
      <c r="P24" s="641"/>
      <c r="Q24" s="640"/>
      <c r="R24" s="641"/>
      <c r="S24" s="642"/>
    </row>
    <row r="25" spans="1:19" ht="24.75" customHeight="1">
      <c r="A25" s="2"/>
      <c r="B25" s="644" t="s">
        <v>226</v>
      </c>
      <c r="C25" s="645" t="s">
        <v>227</v>
      </c>
      <c r="D25" s="637" t="s">
        <v>556</v>
      </c>
      <c r="E25" s="638">
        <v>0</v>
      </c>
      <c r="F25" s="647">
        <v>0</v>
      </c>
      <c r="G25" s="638" t="e">
        <f t="shared" si="0"/>
        <v>#DIV/0!</v>
      </c>
      <c r="H25" s="648">
        <v>1000</v>
      </c>
      <c r="I25" s="649">
        <v>20000000</v>
      </c>
      <c r="J25" s="641">
        <f t="shared" si="1"/>
        <v>20000</v>
      </c>
      <c r="K25" s="648">
        <v>1000</v>
      </c>
      <c r="L25" s="649">
        <v>20000000</v>
      </c>
      <c r="M25" s="641">
        <f t="shared" si="2"/>
        <v>20000</v>
      </c>
      <c r="N25" s="648">
        <v>0</v>
      </c>
      <c r="O25" s="647">
        <v>0</v>
      </c>
      <c r="P25" s="641"/>
      <c r="Q25" s="640"/>
      <c r="R25" s="641"/>
      <c r="S25" s="642"/>
    </row>
    <row r="26" spans="1:19" ht="31.5" customHeight="1">
      <c r="A26" s="2"/>
      <c r="B26" s="644" t="s">
        <v>228</v>
      </c>
      <c r="C26" s="645" t="s">
        <v>237</v>
      </c>
      <c r="D26" s="646" t="s">
        <v>558</v>
      </c>
      <c r="E26" s="638">
        <v>8887</v>
      </c>
      <c r="F26" s="647">
        <v>62211205</v>
      </c>
      <c r="G26" s="638">
        <f t="shared" si="0"/>
        <v>7000.2481152244854</v>
      </c>
      <c r="H26" s="648">
        <v>0</v>
      </c>
      <c r="I26" s="649">
        <v>0</v>
      </c>
      <c r="J26" s="641" t="e">
        <f t="shared" si="1"/>
        <v>#DIV/0!</v>
      </c>
      <c r="K26" s="648">
        <v>0</v>
      </c>
      <c r="L26" s="649">
        <v>0</v>
      </c>
      <c r="M26" s="641" t="e">
        <f t="shared" si="2"/>
        <v>#DIV/0!</v>
      </c>
      <c r="N26" s="648">
        <v>0</v>
      </c>
      <c r="O26" s="647">
        <v>0</v>
      </c>
      <c r="P26" s="641"/>
      <c r="Q26" s="640"/>
      <c r="R26" s="641"/>
      <c r="S26" s="642"/>
    </row>
    <row r="27" spans="1:19" ht="33" customHeight="1">
      <c r="A27" s="2"/>
      <c r="B27" s="644" t="s">
        <v>225</v>
      </c>
      <c r="C27" s="645" t="s">
        <v>238</v>
      </c>
      <c r="D27" s="646" t="s">
        <v>558</v>
      </c>
      <c r="E27" s="638">
        <v>0</v>
      </c>
      <c r="F27" s="647">
        <v>0</v>
      </c>
      <c r="G27" s="638" t="e">
        <f t="shared" si="0"/>
        <v>#DIV/0!</v>
      </c>
      <c r="H27" s="648">
        <v>8833</v>
      </c>
      <c r="I27" s="649">
        <v>26500000</v>
      </c>
      <c r="J27" s="641">
        <f t="shared" si="1"/>
        <v>3000.1132118193141</v>
      </c>
      <c r="K27" s="648">
        <v>8833</v>
      </c>
      <c r="L27" s="649">
        <v>26500000</v>
      </c>
      <c r="M27" s="641">
        <f t="shared" si="2"/>
        <v>3000.1132118193141</v>
      </c>
      <c r="N27" s="648">
        <v>0</v>
      </c>
      <c r="O27" s="647">
        <v>0</v>
      </c>
      <c r="P27" s="641"/>
      <c r="Q27" s="640"/>
      <c r="R27" s="641"/>
      <c r="S27" s="642"/>
    </row>
    <row r="28" spans="1:19" ht="33" customHeight="1">
      <c r="A28" s="2"/>
      <c r="B28" s="644" t="s">
        <v>223</v>
      </c>
      <c r="C28" s="645" t="s">
        <v>239</v>
      </c>
      <c r="D28" s="646" t="s">
        <v>559</v>
      </c>
      <c r="E28" s="638">
        <v>0</v>
      </c>
      <c r="F28" s="647">
        <v>0</v>
      </c>
      <c r="G28" s="638" t="e">
        <f t="shared" si="0"/>
        <v>#DIV/0!</v>
      </c>
      <c r="H28" s="648">
        <v>1228</v>
      </c>
      <c r="I28" s="649">
        <v>28203600</v>
      </c>
      <c r="J28" s="641">
        <f t="shared" si="1"/>
        <v>22967.100977198697</v>
      </c>
      <c r="K28" s="648">
        <v>1228</v>
      </c>
      <c r="L28" s="649">
        <v>28203600</v>
      </c>
      <c r="M28" s="641">
        <f t="shared" si="2"/>
        <v>22967.100977198697</v>
      </c>
      <c r="N28" s="648">
        <v>0</v>
      </c>
      <c r="O28" s="647">
        <v>0</v>
      </c>
      <c r="P28" s="641"/>
      <c r="Q28" s="640"/>
      <c r="R28" s="641"/>
      <c r="S28" s="642"/>
    </row>
    <row r="29" spans="1:19" ht="41.25" customHeight="1">
      <c r="A29" s="2"/>
      <c r="B29" s="644" t="s">
        <v>224</v>
      </c>
      <c r="C29" s="645" t="s">
        <v>240</v>
      </c>
      <c r="D29" s="637" t="s">
        <v>561</v>
      </c>
      <c r="E29" s="638">
        <v>2058</v>
      </c>
      <c r="F29" s="647">
        <v>24702001</v>
      </c>
      <c r="G29" s="638">
        <f t="shared" si="0"/>
        <v>12002.915937803693</v>
      </c>
      <c r="H29" s="648">
        <v>2000</v>
      </c>
      <c r="I29" s="649">
        <v>222318100</v>
      </c>
      <c r="J29" s="641">
        <f t="shared" si="1"/>
        <v>111159.05</v>
      </c>
      <c r="K29" s="648">
        <v>2000</v>
      </c>
      <c r="L29" s="649">
        <v>222318100</v>
      </c>
      <c r="M29" s="641">
        <f t="shared" si="2"/>
        <v>111159.05</v>
      </c>
      <c r="N29" s="648">
        <v>0</v>
      </c>
      <c r="O29" s="647">
        <v>0</v>
      </c>
      <c r="P29" s="641"/>
      <c r="Q29" s="640"/>
      <c r="R29" s="641"/>
      <c r="S29" s="642"/>
    </row>
    <row r="30" spans="1:19" ht="32.25" customHeight="1">
      <c r="A30" s="2"/>
      <c r="B30" s="644" t="s">
        <v>230</v>
      </c>
      <c r="C30" s="645" t="s">
        <v>241</v>
      </c>
      <c r="D30" s="646" t="s">
        <v>556</v>
      </c>
      <c r="E30" s="638">
        <v>0</v>
      </c>
      <c r="F30" s="647">
        <v>0</v>
      </c>
      <c r="G30" s="638" t="e">
        <f t="shared" si="0"/>
        <v>#DIV/0!</v>
      </c>
      <c r="H30" s="648">
        <v>3550</v>
      </c>
      <c r="I30" s="649">
        <v>10000000</v>
      </c>
      <c r="J30" s="641">
        <f t="shared" si="1"/>
        <v>2816.9014084507044</v>
      </c>
      <c r="K30" s="648">
        <v>3550</v>
      </c>
      <c r="L30" s="649">
        <v>10000000</v>
      </c>
      <c r="M30" s="641">
        <f t="shared" si="2"/>
        <v>2816.9014084507044</v>
      </c>
      <c r="N30" s="648">
        <v>0</v>
      </c>
      <c r="O30" s="647">
        <v>0</v>
      </c>
      <c r="P30" s="641"/>
      <c r="Q30" s="640"/>
      <c r="R30" s="641"/>
      <c r="S30" s="642"/>
    </row>
    <row r="31" spans="1:19" ht="39" customHeight="1">
      <c r="A31" s="2"/>
      <c r="B31" s="644" t="s">
        <v>229</v>
      </c>
      <c r="C31" s="645" t="s">
        <v>242</v>
      </c>
      <c r="D31" s="646" t="s">
        <v>556</v>
      </c>
      <c r="E31" s="638">
        <v>0</v>
      </c>
      <c r="F31" s="647">
        <v>0</v>
      </c>
      <c r="G31" s="638" t="e">
        <f t="shared" si="0"/>
        <v>#DIV/0!</v>
      </c>
      <c r="H31" s="648">
        <v>812</v>
      </c>
      <c r="I31" s="649">
        <v>60000000</v>
      </c>
      <c r="J31" s="641">
        <f t="shared" si="1"/>
        <v>73891.625615763551</v>
      </c>
      <c r="K31" s="648">
        <v>812</v>
      </c>
      <c r="L31" s="649">
        <v>60000000</v>
      </c>
      <c r="M31" s="641">
        <f t="shared" si="2"/>
        <v>73891.625615763551</v>
      </c>
      <c r="N31" s="648">
        <v>0</v>
      </c>
      <c r="O31" s="647">
        <v>0</v>
      </c>
      <c r="P31" s="641"/>
      <c r="Q31" s="640"/>
      <c r="R31" s="641"/>
      <c r="S31" s="642"/>
    </row>
    <row r="32" spans="1:19" ht="41.25" customHeight="1">
      <c r="A32" s="2"/>
      <c r="B32" s="644" t="s">
        <v>231</v>
      </c>
      <c r="C32" s="645" t="s">
        <v>243</v>
      </c>
      <c r="D32" s="646" t="s">
        <v>562</v>
      </c>
      <c r="E32" s="638">
        <v>0</v>
      </c>
      <c r="F32" s="647">
        <v>0</v>
      </c>
      <c r="G32" s="638" t="e">
        <f t="shared" si="0"/>
        <v>#DIV/0!</v>
      </c>
      <c r="H32" s="648">
        <v>4</v>
      </c>
      <c r="I32" s="649">
        <v>31822600</v>
      </c>
      <c r="J32" s="641">
        <f t="shared" si="1"/>
        <v>7955650</v>
      </c>
      <c r="K32" s="648">
        <v>4</v>
      </c>
      <c r="L32" s="649">
        <v>31822600</v>
      </c>
      <c r="M32" s="641">
        <f t="shared" si="2"/>
        <v>7955650</v>
      </c>
      <c r="N32" s="641">
        <v>0</v>
      </c>
      <c r="O32" s="647">
        <v>0</v>
      </c>
      <c r="P32" s="641"/>
      <c r="Q32" s="640"/>
      <c r="R32" s="641"/>
      <c r="S32" s="642"/>
    </row>
    <row r="33" spans="1:19" ht="47.25" customHeight="1">
      <c r="A33" s="2"/>
      <c r="B33" s="644" t="s">
        <v>691</v>
      </c>
      <c r="C33" s="645" t="s">
        <v>692</v>
      </c>
      <c r="D33" s="646" t="s">
        <v>556</v>
      </c>
      <c r="E33" s="638">
        <v>0</v>
      </c>
      <c r="F33" s="647">
        <v>0</v>
      </c>
      <c r="G33" s="638" t="e">
        <f t="shared" si="0"/>
        <v>#DIV/0!</v>
      </c>
      <c r="H33" s="648">
        <v>300</v>
      </c>
      <c r="I33" s="649">
        <v>10000000</v>
      </c>
      <c r="J33" s="641">
        <f t="shared" si="1"/>
        <v>33333.333333333336</v>
      </c>
      <c r="K33" s="648">
        <v>300</v>
      </c>
      <c r="L33" s="649">
        <v>10000000</v>
      </c>
      <c r="M33" s="641">
        <f t="shared" si="2"/>
        <v>33333.333333333336</v>
      </c>
      <c r="N33" s="641">
        <v>0</v>
      </c>
      <c r="O33" s="647">
        <v>0</v>
      </c>
      <c r="P33" s="641"/>
      <c r="Q33" s="640"/>
      <c r="R33" s="641"/>
      <c r="S33" s="642"/>
    </row>
    <row r="34" spans="1:19" ht="43.5" customHeight="1">
      <c r="A34" s="2"/>
      <c r="B34" s="644" t="s">
        <v>693</v>
      </c>
      <c r="C34" s="645" t="s">
        <v>694</v>
      </c>
      <c r="D34" s="646" t="s">
        <v>556</v>
      </c>
      <c r="E34" s="638">
        <v>0</v>
      </c>
      <c r="F34" s="647">
        <v>0</v>
      </c>
      <c r="G34" s="638" t="e">
        <f t="shared" si="0"/>
        <v>#DIV/0!</v>
      </c>
      <c r="H34" s="648">
        <v>420</v>
      </c>
      <c r="I34" s="649">
        <v>30000000</v>
      </c>
      <c r="J34" s="641">
        <f t="shared" si="1"/>
        <v>71428.571428571435</v>
      </c>
      <c r="K34" s="648">
        <v>420</v>
      </c>
      <c r="L34" s="649">
        <v>30000000</v>
      </c>
      <c r="M34" s="641">
        <f t="shared" si="2"/>
        <v>71428.571428571435</v>
      </c>
      <c r="N34" s="641">
        <v>0</v>
      </c>
      <c r="O34" s="647">
        <v>0</v>
      </c>
      <c r="P34" s="641"/>
      <c r="Q34" s="640"/>
      <c r="R34" s="641"/>
      <c r="S34" s="642"/>
    </row>
    <row r="35" spans="1:19" ht="39.75" customHeight="1">
      <c r="A35" s="2"/>
      <c r="B35" s="644" t="s">
        <v>695</v>
      </c>
      <c r="C35" s="645" t="s">
        <v>696</v>
      </c>
      <c r="D35" s="646" t="s">
        <v>556</v>
      </c>
      <c r="E35" s="638">
        <v>0</v>
      </c>
      <c r="F35" s="647">
        <v>0</v>
      </c>
      <c r="G35" s="638" t="e">
        <f t="shared" si="0"/>
        <v>#DIV/0!</v>
      </c>
      <c r="H35" s="648">
        <v>1060</v>
      </c>
      <c r="I35" s="649">
        <v>42000000</v>
      </c>
      <c r="J35" s="641">
        <f t="shared" si="1"/>
        <v>39622.641509433961</v>
      </c>
      <c r="K35" s="648">
        <v>1060</v>
      </c>
      <c r="L35" s="649">
        <v>42000000</v>
      </c>
      <c r="M35" s="641">
        <f t="shared" si="2"/>
        <v>39622.641509433961</v>
      </c>
      <c r="N35" s="641">
        <v>0</v>
      </c>
      <c r="O35" s="647">
        <v>0</v>
      </c>
      <c r="P35" s="641"/>
      <c r="Q35" s="640"/>
      <c r="R35" s="641"/>
      <c r="S35" s="642"/>
    </row>
    <row r="36" spans="1:19" ht="33" customHeight="1">
      <c r="A36" s="2"/>
      <c r="B36" s="644" t="s">
        <v>697</v>
      </c>
      <c r="C36" s="645" t="s">
        <v>698</v>
      </c>
      <c r="D36" s="646" t="s">
        <v>550</v>
      </c>
      <c r="E36" s="638">
        <v>0</v>
      </c>
      <c r="F36" s="647">
        <v>0</v>
      </c>
      <c r="G36" s="638" t="e">
        <f t="shared" si="0"/>
        <v>#DIV/0!</v>
      </c>
      <c r="H36" s="648">
        <v>2</v>
      </c>
      <c r="I36" s="649">
        <v>10000000</v>
      </c>
      <c r="J36" s="641">
        <f t="shared" si="1"/>
        <v>5000000</v>
      </c>
      <c r="K36" s="648">
        <v>2</v>
      </c>
      <c r="L36" s="649">
        <v>10000000</v>
      </c>
      <c r="M36" s="641">
        <f t="shared" si="2"/>
        <v>5000000</v>
      </c>
      <c r="N36" s="641">
        <v>0</v>
      </c>
      <c r="O36" s="647">
        <v>0</v>
      </c>
      <c r="P36" s="641"/>
      <c r="Q36" s="640"/>
      <c r="R36" s="641"/>
      <c r="S36" s="642"/>
    </row>
    <row r="37" spans="1:19" ht="36.75" customHeight="1">
      <c r="A37" s="2"/>
      <c r="B37" s="644" t="s">
        <v>190</v>
      </c>
      <c r="C37" s="645" t="s">
        <v>244</v>
      </c>
      <c r="D37" s="646" t="s">
        <v>556</v>
      </c>
      <c r="E37" s="638">
        <v>0</v>
      </c>
      <c r="F37" s="647">
        <v>0</v>
      </c>
      <c r="G37" s="638" t="e">
        <f t="shared" si="0"/>
        <v>#DIV/0!</v>
      </c>
      <c r="H37" s="648">
        <v>1450</v>
      </c>
      <c r="I37" s="649">
        <v>16000000</v>
      </c>
      <c r="J37" s="641">
        <f t="shared" si="1"/>
        <v>11034.48275862069</v>
      </c>
      <c r="K37" s="648">
        <v>1450</v>
      </c>
      <c r="L37" s="649">
        <v>16000000</v>
      </c>
      <c r="M37" s="641">
        <f t="shared" si="2"/>
        <v>11034.48275862069</v>
      </c>
      <c r="N37" s="641">
        <v>0</v>
      </c>
      <c r="O37" s="647">
        <v>0</v>
      </c>
      <c r="P37" s="641"/>
      <c r="Q37" s="640"/>
      <c r="R37" s="641"/>
      <c r="S37" s="642"/>
    </row>
    <row r="38" spans="1:19" ht="41.25" customHeight="1">
      <c r="A38" s="2"/>
      <c r="B38" s="644" t="s">
        <v>192</v>
      </c>
      <c r="C38" s="645" t="s">
        <v>193</v>
      </c>
      <c r="D38" s="646" t="s">
        <v>556</v>
      </c>
      <c r="E38" s="638">
        <v>3491</v>
      </c>
      <c r="F38" s="647">
        <v>171068035</v>
      </c>
      <c r="G38" s="638">
        <f t="shared" si="0"/>
        <v>49002.588083643655</v>
      </c>
      <c r="H38" s="648">
        <v>538</v>
      </c>
      <c r="I38" s="649">
        <v>26355770</v>
      </c>
      <c r="J38" s="641">
        <f t="shared" si="1"/>
        <v>48988.420074349444</v>
      </c>
      <c r="K38" s="648">
        <v>538</v>
      </c>
      <c r="L38" s="649">
        <v>26355770</v>
      </c>
      <c r="M38" s="641">
        <f t="shared" si="2"/>
        <v>48988.420074349444</v>
      </c>
      <c r="N38" s="641">
        <v>0</v>
      </c>
      <c r="O38" s="647">
        <v>0</v>
      </c>
      <c r="P38" s="641"/>
      <c r="Q38" s="640"/>
      <c r="R38" s="641"/>
      <c r="S38" s="642"/>
    </row>
    <row r="39" spans="1:19" ht="39.75" customHeight="1">
      <c r="A39" s="2"/>
      <c r="B39" s="644" t="s">
        <v>191</v>
      </c>
      <c r="C39" s="645" t="s">
        <v>245</v>
      </c>
      <c r="D39" s="646" t="s">
        <v>563</v>
      </c>
      <c r="E39" s="638">
        <v>0</v>
      </c>
      <c r="F39" s="647">
        <v>0</v>
      </c>
      <c r="G39" s="638" t="e">
        <f t="shared" si="0"/>
        <v>#DIV/0!</v>
      </c>
      <c r="H39" s="648">
        <v>2</v>
      </c>
      <c r="I39" s="649">
        <v>278144000</v>
      </c>
      <c r="J39" s="641">
        <f t="shared" si="1"/>
        <v>139072000</v>
      </c>
      <c r="K39" s="648">
        <v>2</v>
      </c>
      <c r="L39" s="649">
        <v>278144000</v>
      </c>
      <c r="M39" s="641">
        <f t="shared" si="2"/>
        <v>139072000</v>
      </c>
      <c r="N39" s="641">
        <v>0</v>
      </c>
      <c r="O39" s="647">
        <v>0</v>
      </c>
      <c r="P39" s="641"/>
      <c r="Q39" s="640"/>
      <c r="R39" s="641"/>
      <c r="S39" s="642"/>
    </row>
    <row r="40" spans="1:19" ht="58.5" customHeight="1">
      <c r="A40" s="2"/>
      <c r="B40" s="644" t="s">
        <v>699</v>
      </c>
      <c r="C40" s="645" t="s">
        <v>700</v>
      </c>
      <c r="D40" s="646" t="s">
        <v>558</v>
      </c>
      <c r="E40" s="638">
        <v>0</v>
      </c>
      <c r="F40" s="647">
        <v>0</v>
      </c>
      <c r="G40" s="638" t="e">
        <f t="shared" si="0"/>
        <v>#DIV/0!</v>
      </c>
      <c r="H40" s="648">
        <v>110</v>
      </c>
      <c r="I40" s="649">
        <v>25000000</v>
      </c>
      <c r="J40" s="641">
        <f t="shared" si="1"/>
        <v>227272.72727272726</v>
      </c>
      <c r="K40" s="648">
        <v>110</v>
      </c>
      <c r="L40" s="649">
        <v>25000000</v>
      </c>
      <c r="M40" s="641">
        <f t="shared" si="2"/>
        <v>227272.72727272726</v>
      </c>
      <c r="N40" s="641">
        <v>0</v>
      </c>
      <c r="O40" s="647">
        <v>0</v>
      </c>
      <c r="P40" s="641"/>
      <c r="Q40" s="640"/>
      <c r="R40" s="641"/>
      <c r="S40" s="642"/>
    </row>
    <row r="41" spans="1:19" ht="36.75" customHeight="1">
      <c r="A41" s="2"/>
      <c r="B41" s="644" t="s">
        <v>194</v>
      </c>
      <c r="C41" s="645" t="s">
        <v>195</v>
      </c>
      <c r="D41" s="646" t="s">
        <v>556</v>
      </c>
      <c r="E41" s="638">
        <v>123</v>
      </c>
      <c r="F41" s="647">
        <v>3678170</v>
      </c>
      <c r="G41" s="638">
        <f t="shared" si="0"/>
        <v>29903.82113821138</v>
      </c>
      <c r="H41" s="648">
        <v>325</v>
      </c>
      <c r="I41" s="649">
        <v>9836000</v>
      </c>
      <c r="J41" s="641">
        <f t="shared" si="1"/>
        <v>30264.615384615383</v>
      </c>
      <c r="K41" s="648">
        <v>325</v>
      </c>
      <c r="L41" s="649">
        <v>9836000</v>
      </c>
      <c r="M41" s="641">
        <f t="shared" si="2"/>
        <v>30264.615384615383</v>
      </c>
      <c r="N41" s="641">
        <v>0</v>
      </c>
      <c r="O41" s="647">
        <v>0</v>
      </c>
      <c r="P41" s="641"/>
      <c r="Q41" s="640"/>
      <c r="R41" s="641"/>
      <c r="S41" s="642"/>
    </row>
    <row r="42" spans="1:19" ht="31.5" customHeight="1">
      <c r="A42" s="2"/>
      <c r="B42" s="644" t="s">
        <v>196</v>
      </c>
      <c r="C42" s="645" t="s">
        <v>246</v>
      </c>
      <c r="D42" s="646" t="s">
        <v>558</v>
      </c>
      <c r="E42" s="638">
        <v>1844</v>
      </c>
      <c r="F42" s="647">
        <v>49184321</v>
      </c>
      <c r="G42" s="638">
        <f t="shared" si="0"/>
        <v>26672.625271149675</v>
      </c>
      <c r="H42" s="648">
        <v>6950</v>
      </c>
      <c r="I42" s="649">
        <v>190000000</v>
      </c>
      <c r="J42" s="641">
        <f t="shared" si="1"/>
        <v>27338.129496402878</v>
      </c>
      <c r="K42" s="648">
        <v>6950</v>
      </c>
      <c r="L42" s="649">
        <v>190000000</v>
      </c>
      <c r="M42" s="641">
        <f t="shared" si="2"/>
        <v>27338.129496402878</v>
      </c>
      <c r="N42" s="641">
        <v>40</v>
      </c>
      <c r="O42" s="647">
        <v>5059411</v>
      </c>
      <c r="P42" s="641">
        <f t="shared" si="7"/>
        <v>126485.27499999999</v>
      </c>
      <c r="Q42" s="640">
        <f t="shared" si="8"/>
        <v>99812.649728850316</v>
      </c>
      <c r="R42" s="641">
        <f t="shared" si="9"/>
        <v>99147.145503597116</v>
      </c>
      <c r="S42" s="642">
        <f t="shared" si="10"/>
        <v>99147.145503597116</v>
      </c>
    </row>
    <row r="43" spans="1:19" ht="38.25" customHeight="1">
      <c r="A43" s="2"/>
      <c r="B43" s="644" t="s">
        <v>197</v>
      </c>
      <c r="C43" s="645" t="s">
        <v>247</v>
      </c>
      <c r="D43" s="646" t="s">
        <v>556</v>
      </c>
      <c r="E43" s="638">
        <v>2402</v>
      </c>
      <c r="F43" s="647">
        <v>129874999</v>
      </c>
      <c r="G43" s="638">
        <f t="shared" si="0"/>
        <v>54069.524979184011</v>
      </c>
      <c r="H43" s="648">
        <v>0</v>
      </c>
      <c r="I43" s="649">
        <v>0</v>
      </c>
      <c r="J43" s="641" t="e">
        <f t="shared" si="1"/>
        <v>#DIV/0!</v>
      </c>
      <c r="K43" s="648">
        <v>0</v>
      </c>
      <c r="L43" s="649">
        <v>0</v>
      </c>
      <c r="M43" s="641" t="e">
        <f t="shared" si="2"/>
        <v>#DIV/0!</v>
      </c>
      <c r="N43" s="641">
        <v>0</v>
      </c>
      <c r="O43" s="647">
        <v>0</v>
      </c>
      <c r="P43" s="641"/>
      <c r="Q43" s="640"/>
      <c r="R43" s="641"/>
      <c r="S43" s="642"/>
    </row>
    <row r="44" spans="1:19" ht="36" customHeight="1">
      <c r="A44" s="2"/>
      <c r="B44" s="644" t="s">
        <v>200</v>
      </c>
      <c r="C44" s="645" t="s">
        <v>201</v>
      </c>
      <c r="D44" s="646" t="s">
        <v>562</v>
      </c>
      <c r="E44" s="638">
        <v>1</v>
      </c>
      <c r="F44" s="647">
        <v>901600000</v>
      </c>
      <c r="G44" s="638">
        <f t="shared" si="0"/>
        <v>901600000</v>
      </c>
      <c r="H44" s="648">
        <v>1</v>
      </c>
      <c r="I44" s="649">
        <v>1641410000</v>
      </c>
      <c r="J44" s="641">
        <f t="shared" si="1"/>
        <v>1641410000</v>
      </c>
      <c r="K44" s="648">
        <v>1</v>
      </c>
      <c r="L44" s="649">
        <v>1641410000</v>
      </c>
      <c r="M44" s="641">
        <f t="shared" si="2"/>
        <v>1641410000</v>
      </c>
      <c r="N44" s="641">
        <v>1</v>
      </c>
      <c r="O44" s="647">
        <v>1585479074</v>
      </c>
      <c r="P44" s="641">
        <f t="shared" si="7"/>
        <v>1585479074</v>
      </c>
      <c r="Q44" s="640">
        <f t="shared" si="8"/>
        <v>683879074</v>
      </c>
      <c r="R44" s="641">
        <f t="shared" si="9"/>
        <v>-55930926</v>
      </c>
      <c r="S44" s="642">
        <f t="shared" si="10"/>
        <v>-55930926</v>
      </c>
    </row>
    <row r="45" spans="1:19" ht="30.75" customHeight="1">
      <c r="A45" s="2"/>
      <c r="B45" s="644" t="s">
        <v>199</v>
      </c>
      <c r="C45" s="645" t="s">
        <v>250</v>
      </c>
      <c r="D45" s="637" t="s">
        <v>701</v>
      </c>
      <c r="E45" s="638">
        <v>1</v>
      </c>
      <c r="F45" s="647">
        <v>624616320</v>
      </c>
      <c r="G45" s="638">
        <f t="shared" si="0"/>
        <v>624616320</v>
      </c>
      <c r="H45" s="648">
        <v>1</v>
      </c>
      <c r="I45" s="649">
        <v>1622836906</v>
      </c>
      <c r="J45" s="641">
        <f t="shared" si="1"/>
        <v>1622836906</v>
      </c>
      <c r="K45" s="648">
        <v>1</v>
      </c>
      <c r="L45" s="649">
        <v>1622836906</v>
      </c>
      <c r="M45" s="641">
        <f t="shared" si="2"/>
        <v>1622836906</v>
      </c>
      <c r="N45" s="641">
        <v>0</v>
      </c>
      <c r="O45" s="647">
        <v>0</v>
      </c>
      <c r="P45" s="641"/>
      <c r="Q45" s="640"/>
      <c r="R45" s="641"/>
      <c r="S45" s="642"/>
    </row>
    <row r="46" spans="1:19" ht="34.5" customHeight="1">
      <c r="A46" s="2"/>
      <c r="B46" s="644" t="s">
        <v>202</v>
      </c>
      <c r="C46" s="645" t="s">
        <v>251</v>
      </c>
      <c r="D46" s="646" t="s">
        <v>556</v>
      </c>
      <c r="E46" s="638">
        <v>0</v>
      </c>
      <c r="F46" s="647">
        <v>0</v>
      </c>
      <c r="G46" s="638" t="e">
        <f t="shared" si="0"/>
        <v>#DIV/0!</v>
      </c>
      <c r="H46" s="648">
        <v>1000</v>
      </c>
      <c r="I46" s="649">
        <v>80000000</v>
      </c>
      <c r="J46" s="641">
        <f t="shared" si="1"/>
        <v>80000</v>
      </c>
      <c r="K46" s="641">
        <v>1000</v>
      </c>
      <c r="L46" s="649">
        <v>80000000</v>
      </c>
      <c r="M46" s="641">
        <f t="shared" si="2"/>
        <v>80000</v>
      </c>
      <c r="N46" s="641">
        <v>0</v>
      </c>
      <c r="O46" s="647">
        <v>0</v>
      </c>
      <c r="P46" s="641"/>
      <c r="Q46" s="640"/>
      <c r="R46" s="641"/>
      <c r="S46" s="642"/>
    </row>
    <row r="47" spans="1:19" ht="37.5" customHeight="1">
      <c r="A47" s="2"/>
      <c r="B47" s="644" t="s">
        <v>203</v>
      </c>
      <c r="C47" s="645" t="s">
        <v>252</v>
      </c>
      <c r="D47" s="646" t="s">
        <v>558</v>
      </c>
      <c r="E47" s="638">
        <v>735</v>
      </c>
      <c r="F47" s="647">
        <v>36756984</v>
      </c>
      <c r="G47" s="638">
        <f t="shared" si="0"/>
        <v>50009.502040816325</v>
      </c>
      <c r="H47" s="648">
        <v>591</v>
      </c>
      <c r="I47" s="649">
        <v>29591000</v>
      </c>
      <c r="J47" s="641">
        <f t="shared" si="1"/>
        <v>50069.373942470389</v>
      </c>
      <c r="K47" s="648">
        <v>591</v>
      </c>
      <c r="L47" s="649">
        <v>29591000</v>
      </c>
      <c r="M47" s="641">
        <f t="shared" si="2"/>
        <v>50069.373942470389</v>
      </c>
      <c r="N47" s="641">
        <v>0</v>
      </c>
      <c r="O47" s="647">
        <v>2361480</v>
      </c>
      <c r="P47" s="641"/>
      <c r="Q47" s="640"/>
      <c r="R47" s="641"/>
      <c r="S47" s="642"/>
    </row>
    <row r="48" spans="1:19" ht="29.25" customHeight="1">
      <c r="A48" s="2"/>
      <c r="B48" s="644" t="s">
        <v>204</v>
      </c>
      <c r="C48" s="645" t="s">
        <v>205</v>
      </c>
      <c r="D48" s="646" t="s">
        <v>564</v>
      </c>
      <c r="E48" s="638">
        <v>0</v>
      </c>
      <c r="F48" s="647">
        <v>0</v>
      </c>
      <c r="G48" s="638" t="e">
        <f t="shared" si="0"/>
        <v>#DIV/0!</v>
      </c>
      <c r="H48" s="648">
        <v>1</v>
      </c>
      <c r="I48" s="649">
        <v>360000000</v>
      </c>
      <c r="J48" s="641">
        <f t="shared" si="1"/>
        <v>360000000</v>
      </c>
      <c r="K48" s="648">
        <v>1</v>
      </c>
      <c r="L48" s="649">
        <v>360000000</v>
      </c>
      <c r="M48" s="641">
        <f t="shared" si="2"/>
        <v>360000000</v>
      </c>
      <c r="N48" s="641">
        <v>0</v>
      </c>
      <c r="O48" s="10">
        <v>0</v>
      </c>
      <c r="P48" s="641"/>
      <c r="Q48" s="640"/>
      <c r="R48" s="641"/>
      <c r="S48" s="642"/>
    </row>
    <row r="49" spans="1:19" ht="42" customHeight="1">
      <c r="A49" s="2"/>
      <c r="B49" s="644" t="s">
        <v>206</v>
      </c>
      <c r="C49" s="645" t="s">
        <v>207</v>
      </c>
      <c r="D49" s="646" t="s">
        <v>702</v>
      </c>
      <c r="E49" s="638">
        <v>1</v>
      </c>
      <c r="F49" s="647">
        <v>608190000</v>
      </c>
      <c r="G49" s="638">
        <f t="shared" si="0"/>
        <v>608190000</v>
      </c>
      <c r="H49" s="648">
        <v>3</v>
      </c>
      <c r="I49" s="649">
        <v>1520475000</v>
      </c>
      <c r="J49" s="641">
        <f t="shared" si="1"/>
        <v>506825000</v>
      </c>
      <c r="K49" s="648">
        <v>3</v>
      </c>
      <c r="L49" s="649">
        <v>1520475000</v>
      </c>
      <c r="M49" s="641">
        <f t="shared" si="2"/>
        <v>506825000</v>
      </c>
      <c r="N49" s="641">
        <v>1</v>
      </c>
      <c r="O49" s="649">
        <v>506825000</v>
      </c>
      <c r="P49" s="641">
        <f t="shared" si="7"/>
        <v>506825000</v>
      </c>
      <c r="Q49" s="640">
        <f t="shared" si="8"/>
        <v>-101365000</v>
      </c>
      <c r="R49" s="641">
        <f t="shared" si="9"/>
        <v>0</v>
      </c>
      <c r="S49" s="642">
        <f t="shared" si="10"/>
        <v>0</v>
      </c>
    </row>
    <row r="50" spans="1:19" ht="52.5" customHeight="1">
      <c r="A50" s="2"/>
      <c r="B50" s="644" t="s">
        <v>703</v>
      </c>
      <c r="C50" s="645" t="s">
        <v>704</v>
      </c>
      <c r="D50" s="646" t="s">
        <v>556</v>
      </c>
      <c r="E50" s="638">
        <v>0</v>
      </c>
      <c r="F50" s="647">
        <v>0</v>
      </c>
      <c r="G50" s="638" t="e">
        <f t="shared" si="0"/>
        <v>#DIV/0!</v>
      </c>
      <c r="H50" s="648">
        <v>500</v>
      </c>
      <c r="I50" s="649">
        <v>20000000</v>
      </c>
      <c r="J50" s="641">
        <f t="shared" si="1"/>
        <v>40000</v>
      </c>
      <c r="K50" s="648">
        <v>500</v>
      </c>
      <c r="L50" s="649">
        <v>20000000</v>
      </c>
      <c r="M50" s="641">
        <f t="shared" si="2"/>
        <v>40000</v>
      </c>
      <c r="N50" s="641">
        <v>0</v>
      </c>
      <c r="O50" s="649">
        <v>0</v>
      </c>
      <c r="P50" s="641"/>
      <c r="Q50" s="640"/>
      <c r="R50" s="641"/>
      <c r="S50" s="642"/>
    </row>
    <row r="51" spans="1:19" ht="28.5" customHeight="1">
      <c r="A51" s="2"/>
      <c r="B51" s="644" t="s">
        <v>705</v>
      </c>
      <c r="C51" s="645" t="s">
        <v>565</v>
      </c>
      <c r="D51" s="646" t="s">
        <v>556</v>
      </c>
      <c r="E51" s="638">
        <v>0</v>
      </c>
      <c r="F51" s="647">
        <v>0</v>
      </c>
      <c r="G51" s="638" t="e">
        <f t="shared" si="0"/>
        <v>#DIV/0!</v>
      </c>
      <c r="H51" s="648">
        <v>312</v>
      </c>
      <c r="I51" s="649">
        <v>6000000</v>
      </c>
      <c r="J51" s="641">
        <f t="shared" si="1"/>
        <v>19230.76923076923</v>
      </c>
      <c r="K51" s="648">
        <v>312</v>
      </c>
      <c r="L51" s="649">
        <v>6000000</v>
      </c>
      <c r="M51" s="641">
        <f t="shared" si="2"/>
        <v>19230.76923076923</v>
      </c>
      <c r="N51" s="641">
        <v>0</v>
      </c>
      <c r="O51" s="10">
        <v>0</v>
      </c>
      <c r="P51" s="641"/>
      <c r="Q51" s="640"/>
      <c r="R51" s="641"/>
      <c r="S51" s="642"/>
    </row>
    <row r="52" spans="1:19" ht="28.5" customHeight="1">
      <c r="A52" s="2"/>
      <c r="B52" s="644" t="s">
        <v>189</v>
      </c>
      <c r="C52" s="645" t="s">
        <v>248</v>
      </c>
      <c r="D52" s="646" t="s">
        <v>550</v>
      </c>
      <c r="E52" s="638">
        <v>0</v>
      </c>
      <c r="F52" s="647">
        <v>130934503</v>
      </c>
      <c r="G52" s="638" t="e">
        <f t="shared" si="0"/>
        <v>#DIV/0!</v>
      </c>
      <c r="H52" s="648">
        <v>0</v>
      </c>
      <c r="I52" s="649">
        <v>0</v>
      </c>
      <c r="J52" s="641" t="e">
        <f t="shared" si="1"/>
        <v>#DIV/0!</v>
      </c>
      <c r="K52" s="648">
        <v>0</v>
      </c>
      <c r="L52" s="649">
        <v>0</v>
      </c>
      <c r="M52" s="641" t="e">
        <f t="shared" si="2"/>
        <v>#DIV/0!</v>
      </c>
      <c r="N52" s="641">
        <v>0</v>
      </c>
      <c r="O52" s="647">
        <v>0</v>
      </c>
      <c r="P52" s="641"/>
      <c r="Q52" s="640"/>
      <c r="R52" s="641"/>
      <c r="S52" s="642"/>
    </row>
    <row r="53" spans="1:19" ht="38.25" customHeight="1">
      <c r="A53" s="2"/>
      <c r="B53" s="644" t="s">
        <v>219</v>
      </c>
      <c r="C53" s="645" t="s">
        <v>220</v>
      </c>
      <c r="D53" s="646" t="s">
        <v>550</v>
      </c>
      <c r="E53" s="638">
        <v>0</v>
      </c>
      <c r="F53" s="647">
        <v>3184109</v>
      </c>
      <c r="G53" s="638" t="e">
        <f t="shared" si="0"/>
        <v>#DIV/0!</v>
      </c>
      <c r="H53" s="648">
        <v>0</v>
      </c>
      <c r="I53" s="649">
        <v>0</v>
      </c>
      <c r="J53" s="641" t="e">
        <f t="shared" si="1"/>
        <v>#DIV/0!</v>
      </c>
      <c r="K53" s="648">
        <v>0</v>
      </c>
      <c r="L53" s="649">
        <v>0</v>
      </c>
      <c r="M53" s="641" t="e">
        <f t="shared" si="2"/>
        <v>#DIV/0!</v>
      </c>
      <c r="N53" s="641">
        <v>0</v>
      </c>
      <c r="O53" s="647">
        <v>0</v>
      </c>
      <c r="P53" s="641"/>
      <c r="Q53" s="640"/>
      <c r="R53" s="641"/>
      <c r="S53" s="642"/>
    </row>
    <row r="54" spans="1:19" ht="28.5" customHeight="1">
      <c r="A54" s="2"/>
      <c r="B54" s="644" t="s">
        <v>198</v>
      </c>
      <c r="C54" s="645" t="s">
        <v>235</v>
      </c>
      <c r="D54" s="646" t="s">
        <v>558</v>
      </c>
      <c r="E54" s="638">
        <v>1</v>
      </c>
      <c r="F54" s="647">
        <v>150000000</v>
      </c>
      <c r="G54" s="638">
        <f t="shared" si="0"/>
        <v>150000000</v>
      </c>
      <c r="H54" s="648">
        <v>0</v>
      </c>
      <c r="I54" s="649">
        <v>0</v>
      </c>
      <c r="J54" s="641" t="e">
        <f t="shared" si="1"/>
        <v>#DIV/0!</v>
      </c>
      <c r="K54" s="648">
        <v>0</v>
      </c>
      <c r="L54" s="649">
        <v>0</v>
      </c>
      <c r="M54" s="641" t="e">
        <f t="shared" si="2"/>
        <v>#DIV/0!</v>
      </c>
      <c r="N54" s="641">
        <v>0</v>
      </c>
      <c r="O54" s="10">
        <v>0</v>
      </c>
      <c r="P54" s="641"/>
      <c r="Q54" s="640"/>
      <c r="R54" s="641"/>
      <c r="S54" s="642"/>
    </row>
    <row r="55" spans="1:19" ht="26.25" customHeight="1">
      <c r="A55" s="2"/>
      <c r="B55" s="636" t="s">
        <v>529</v>
      </c>
      <c r="C55" s="651" t="s">
        <v>68</v>
      </c>
      <c r="D55" s="646"/>
      <c r="E55" s="638">
        <v>0</v>
      </c>
      <c r="F55" s="652">
        <f>SUM(F10:F54)</f>
        <v>17381334541</v>
      </c>
      <c r="G55" s="652">
        <v>0</v>
      </c>
      <c r="H55" s="652">
        <v>0</v>
      </c>
      <c r="I55" s="652">
        <f>SUM(I10:I54)</f>
        <v>20391874000</v>
      </c>
      <c r="J55" s="652">
        <v>0</v>
      </c>
      <c r="K55" s="652">
        <v>0</v>
      </c>
      <c r="L55" s="652">
        <f t="shared" ref="L55:O55" si="11">SUM(L10:L54)</f>
        <v>20391874000</v>
      </c>
      <c r="M55" s="652">
        <v>0</v>
      </c>
      <c r="N55" s="652">
        <f t="shared" si="11"/>
        <v>4962.4343341811245</v>
      </c>
      <c r="O55" s="652">
        <f t="shared" si="11"/>
        <v>7026304233</v>
      </c>
      <c r="P55" s="641">
        <f t="shared" si="7"/>
        <v>1415898.6819438578</v>
      </c>
      <c r="Q55" s="640">
        <f t="shared" si="8"/>
        <v>1415898.6819438578</v>
      </c>
      <c r="R55" s="641">
        <f t="shared" si="9"/>
        <v>1415898.6819438578</v>
      </c>
      <c r="S55" s="642">
        <f t="shared" si="10"/>
        <v>1415898.6819438578</v>
      </c>
    </row>
    <row r="56" spans="1:19" ht="40.5" customHeight="1">
      <c r="A56" s="2"/>
      <c r="B56" s="696"/>
      <c r="C56" s="697" t="s">
        <v>715</v>
      </c>
      <c r="D56" s="698"/>
      <c r="E56" s="698"/>
      <c r="F56" s="699"/>
      <c r="G56" s="698"/>
      <c r="H56" s="698"/>
      <c r="I56" s="703">
        <v>11000000000</v>
      </c>
      <c r="J56" s="703"/>
      <c r="K56" s="703"/>
      <c r="L56" s="703">
        <v>11000000000</v>
      </c>
      <c r="M56" s="700"/>
      <c r="N56" s="700"/>
      <c r="O56" s="700"/>
      <c r="P56" s="701"/>
      <c r="Q56" s="700"/>
      <c r="R56" s="700"/>
      <c r="S56" s="702"/>
    </row>
    <row r="57" spans="1:19" ht="40.5" customHeight="1" thickBot="1">
      <c r="A57" s="2"/>
      <c r="B57" s="1535" t="s">
        <v>567</v>
      </c>
      <c r="C57" s="1536"/>
      <c r="D57" s="489"/>
      <c r="E57" s="489"/>
      <c r="F57" s="490">
        <v>17381334541</v>
      </c>
      <c r="G57" s="490">
        <v>0</v>
      </c>
      <c r="H57" s="490">
        <v>0</v>
      </c>
      <c r="I57" s="491">
        <v>31391874000</v>
      </c>
      <c r="J57" s="491">
        <v>0</v>
      </c>
      <c r="K57" s="491">
        <v>0</v>
      </c>
      <c r="L57" s="491">
        <v>31391874000</v>
      </c>
      <c r="M57" s="491">
        <v>0</v>
      </c>
      <c r="N57" s="491">
        <v>4962.4343341811245</v>
      </c>
      <c r="O57" s="491">
        <v>7026304233</v>
      </c>
      <c r="P57" s="491">
        <v>1415898.6819438578</v>
      </c>
      <c r="Q57" s="491">
        <v>1415898.6819438578</v>
      </c>
      <c r="R57" s="491">
        <v>1415898.6819438578</v>
      </c>
      <c r="S57" s="492">
        <v>1415898.6819438578</v>
      </c>
    </row>
  </sheetData>
  <mergeCells count="17">
    <mergeCell ref="B10:C10"/>
    <mergeCell ref="B57:C57"/>
    <mergeCell ref="C6:E6"/>
    <mergeCell ref="B7:B8"/>
    <mergeCell ref="C7:C8"/>
    <mergeCell ref="D7:D8"/>
    <mergeCell ref="E7:G7"/>
    <mergeCell ref="G6:S6"/>
    <mergeCell ref="H7:J7"/>
    <mergeCell ref="N7:P7"/>
    <mergeCell ref="Q7:S7"/>
    <mergeCell ref="K7:M7"/>
    <mergeCell ref="B2:S2"/>
    <mergeCell ref="B3:S3"/>
    <mergeCell ref="B4:S4"/>
    <mergeCell ref="C5:E5"/>
    <mergeCell ref="G5:S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79998168889431442"/>
  </sheetPr>
  <dimension ref="A1:R86"/>
  <sheetViews>
    <sheetView workbookViewId="0">
      <selection activeCell="I15" sqref="I15"/>
    </sheetView>
  </sheetViews>
  <sheetFormatPr defaultRowHeight="11.25"/>
  <cols>
    <col min="1" max="1" width="9.28515625" style="31" customWidth="1"/>
    <col min="2" max="2" width="49.85546875" style="31" customWidth="1"/>
    <col min="3" max="3" width="16.42578125" style="31" customWidth="1"/>
    <col min="4" max="4" width="11" style="31" customWidth="1"/>
    <col min="5" max="5" width="14.28515625" style="31" customWidth="1"/>
    <col min="6" max="6" width="12.42578125" style="31" customWidth="1"/>
    <col min="7" max="7" width="10" style="31" bestFit="1" customWidth="1"/>
    <col min="8" max="8" width="12.7109375" style="31" bestFit="1" customWidth="1"/>
    <col min="9" max="9" width="12.5703125" style="31" customWidth="1"/>
    <col min="10" max="10" width="9.85546875" style="31" customWidth="1"/>
    <col min="11" max="11" width="12.7109375" style="31" bestFit="1" customWidth="1"/>
    <col min="12" max="12" width="14" style="31" bestFit="1" customWidth="1"/>
    <col min="13" max="13" width="9.85546875" style="31" customWidth="1"/>
    <col min="14" max="14" width="12.7109375" style="707" bestFit="1" customWidth="1"/>
    <col min="15" max="15" width="12.85546875" style="31" customWidth="1"/>
    <col min="16" max="16" width="10.5703125" style="31" customWidth="1"/>
    <col min="17" max="17" width="13.7109375" style="31" customWidth="1"/>
    <col min="18" max="18" width="13.28515625" style="31" customWidth="1"/>
    <col min="19" max="16384" width="9.140625" style="31"/>
  </cols>
  <sheetData>
    <row r="1" spans="1:18">
      <c r="A1" s="493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705"/>
      <c r="O1" s="494"/>
      <c r="P1" s="494"/>
      <c r="Q1" s="494"/>
      <c r="R1" s="494"/>
    </row>
    <row r="2" spans="1:18">
      <c r="A2" s="1549" t="s">
        <v>500</v>
      </c>
      <c r="B2" s="1549"/>
      <c r="C2" s="1549"/>
      <c r="D2" s="1549"/>
      <c r="E2" s="1549"/>
      <c r="F2" s="1549"/>
      <c r="G2" s="1549"/>
      <c r="H2" s="1549"/>
      <c r="I2" s="1549"/>
      <c r="J2" s="1549"/>
      <c r="K2" s="1549"/>
      <c r="L2" s="1549"/>
      <c r="M2" s="1549"/>
      <c r="N2" s="1549"/>
      <c r="O2" s="1549"/>
      <c r="P2" s="1549"/>
      <c r="Q2" s="1549"/>
      <c r="R2" s="1549"/>
    </row>
    <row r="3" spans="1:18">
      <c r="A3" s="1550" t="s">
        <v>494</v>
      </c>
      <c r="B3" s="1550"/>
      <c r="C3" s="1550"/>
      <c r="D3" s="1550"/>
      <c r="E3" s="1550"/>
      <c r="F3" s="1550"/>
      <c r="G3" s="1550"/>
      <c r="H3" s="1550"/>
      <c r="I3" s="1550"/>
      <c r="J3" s="1550"/>
      <c r="K3" s="1550"/>
      <c r="L3" s="1550"/>
      <c r="M3" s="1550"/>
      <c r="N3" s="1550"/>
      <c r="O3" s="1550"/>
      <c r="P3" s="1550"/>
      <c r="Q3" s="1550"/>
      <c r="R3" s="1550"/>
    </row>
    <row r="4" spans="1:18" ht="12" thickBot="1">
      <c r="A4" s="1551" t="s">
        <v>1</v>
      </c>
      <c r="B4" s="1551"/>
      <c r="C4" s="1551"/>
      <c r="D4" s="1551"/>
      <c r="E4" s="1551"/>
      <c r="F4" s="1551"/>
      <c r="G4" s="1551"/>
      <c r="H4" s="1551"/>
      <c r="I4" s="1551"/>
      <c r="J4" s="1551"/>
      <c r="K4" s="1551"/>
      <c r="L4" s="1551"/>
      <c r="M4" s="1551"/>
      <c r="N4" s="1551"/>
      <c r="O4" s="1551"/>
      <c r="P4" s="1551"/>
      <c r="Q4" s="1551"/>
      <c r="R4" s="1551"/>
    </row>
    <row r="5" spans="1:18" ht="36.75" customHeight="1" thickTop="1">
      <c r="A5" s="495" t="s">
        <v>113</v>
      </c>
      <c r="B5" s="1552" t="s">
        <v>160</v>
      </c>
      <c r="C5" s="1552"/>
      <c r="D5" s="1552"/>
      <c r="E5" s="496" t="s">
        <v>3</v>
      </c>
      <c r="F5" s="1553" t="s">
        <v>179</v>
      </c>
      <c r="G5" s="1553"/>
      <c r="H5" s="1553"/>
      <c r="I5" s="1553"/>
      <c r="J5" s="1553"/>
      <c r="K5" s="1553"/>
      <c r="L5" s="1553"/>
      <c r="M5" s="1553"/>
      <c r="N5" s="1553"/>
      <c r="O5" s="1553"/>
      <c r="P5" s="1553"/>
      <c r="Q5" s="1553"/>
      <c r="R5" s="1553"/>
    </row>
    <row r="6" spans="1:18" ht="33" customHeight="1">
      <c r="A6" s="497" t="s">
        <v>114</v>
      </c>
      <c r="B6" s="1546" t="s">
        <v>150</v>
      </c>
      <c r="C6" s="1546"/>
      <c r="D6" s="1546"/>
      <c r="E6" s="498" t="s">
        <v>115</v>
      </c>
      <c r="F6" s="1547" t="s">
        <v>149</v>
      </c>
      <c r="G6" s="1547"/>
      <c r="H6" s="1547"/>
      <c r="I6" s="1547"/>
      <c r="J6" s="1547"/>
      <c r="K6" s="1547"/>
      <c r="L6" s="1547"/>
      <c r="M6" s="1547"/>
      <c r="N6" s="1547"/>
      <c r="O6" s="1547"/>
      <c r="P6" s="1547"/>
      <c r="Q6" s="1547"/>
      <c r="R6" s="1547"/>
    </row>
    <row r="7" spans="1:18" ht="15" customHeight="1">
      <c r="A7" s="1542" t="s">
        <v>501</v>
      </c>
      <c r="B7" s="1543" t="s">
        <v>502</v>
      </c>
      <c r="C7" s="1544" t="s">
        <v>503</v>
      </c>
      <c r="D7" s="1545" t="s">
        <v>117</v>
      </c>
      <c r="E7" s="1545"/>
      <c r="F7" s="1545"/>
      <c r="G7" s="1545" t="s">
        <v>504</v>
      </c>
      <c r="H7" s="1545"/>
      <c r="I7" s="1545"/>
      <c r="J7" s="1545" t="s">
        <v>504</v>
      </c>
      <c r="K7" s="1545"/>
      <c r="L7" s="1545"/>
      <c r="M7" s="1545" t="s">
        <v>504</v>
      </c>
      <c r="N7" s="1545"/>
      <c r="O7" s="1545"/>
      <c r="P7" s="1548" t="s">
        <v>505</v>
      </c>
      <c r="Q7" s="1548"/>
      <c r="R7" s="1548"/>
    </row>
    <row r="8" spans="1:18" ht="83.25" customHeight="1">
      <c r="A8" s="1542"/>
      <c r="B8" s="1543"/>
      <c r="C8" s="1544"/>
      <c r="D8" s="499" t="s">
        <v>506</v>
      </c>
      <c r="E8" s="500" t="s">
        <v>507</v>
      </c>
      <c r="F8" s="501" t="s">
        <v>508</v>
      </c>
      <c r="G8" s="502" t="s">
        <v>509</v>
      </c>
      <c r="H8" s="500" t="s">
        <v>510</v>
      </c>
      <c r="I8" s="706" t="s">
        <v>511</v>
      </c>
      <c r="J8" s="502" t="s">
        <v>512</v>
      </c>
      <c r="K8" s="500" t="s">
        <v>513</v>
      </c>
      <c r="L8" s="706" t="s">
        <v>514</v>
      </c>
      <c r="M8" s="502" t="s">
        <v>515</v>
      </c>
      <c r="N8" s="500" t="s">
        <v>516</v>
      </c>
      <c r="O8" s="706" t="s">
        <v>517</v>
      </c>
      <c r="P8" s="502" t="s">
        <v>518</v>
      </c>
      <c r="Q8" s="500" t="s">
        <v>519</v>
      </c>
      <c r="R8" s="503" t="s">
        <v>520</v>
      </c>
    </row>
    <row r="9" spans="1:18" ht="12" thickBot="1">
      <c r="A9" s="504"/>
      <c r="B9" s="505"/>
      <c r="C9" s="1057"/>
      <c r="D9" s="1057" t="s">
        <v>13</v>
      </c>
      <c r="E9" s="1057" t="s">
        <v>14</v>
      </c>
      <c r="F9" s="1057" t="s">
        <v>15</v>
      </c>
      <c r="G9" s="1057" t="s">
        <v>16</v>
      </c>
      <c r="H9" s="1057" t="s">
        <v>17</v>
      </c>
      <c r="I9" s="1057" t="s">
        <v>18</v>
      </c>
      <c r="J9" s="1057" t="s">
        <v>521</v>
      </c>
      <c r="K9" s="1057" t="s">
        <v>20</v>
      </c>
      <c r="L9" s="1057" t="s">
        <v>21</v>
      </c>
      <c r="M9" s="1057" t="s">
        <v>522</v>
      </c>
      <c r="N9" s="1057" t="s">
        <v>523</v>
      </c>
      <c r="O9" s="1057" t="s">
        <v>524</v>
      </c>
      <c r="P9" s="1057" t="s">
        <v>525</v>
      </c>
      <c r="Q9" s="1057" t="s">
        <v>526</v>
      </c>
      <c r="R9" s="1058" t="s">
        <v>527</v>
      </c>
    </row>
    <row r="10" spans="1:18" s="206" customFormat="1" ht="27" customHeight="1" thickTop="1">
      <c r="A10" s="1687" t="s">
        <v>528</v>
      </c>
      <c r="B10" s="1688"/>
      <c r="C10" s="1689"/>
      <c r="D10" s="1689"/>
      <c r="E10" s="1689"/>
      <c r="F10" s="1689"/>
      <c r="G10" s="1689"/>
      <c r="H10" s="1689"/>
      <c r="I10" s="1689"/>
      <c r="J10" s="1689"/>
      <c r="K10" s="1689"/>
      <c r="L10" s="1689"/>
      <c r="M10" s="1689"/>
      <c r="N10" s="1689"/>
      <c r="O10" s="1689"/>
      <c r="P10" s="1689"/>
      <c r="Q10" s="1689"/>
      <c r="R10" s="1689"/>
    </row>
    <row r="11" spans="1:18" s="206" customFormat="1" ht="34.5" customHeight="1">
      <c r="A11" s="1690" t="s">
        <v>371</v>
      </c>
      <c r="B11" s="1691" t="s">
        <v>568</v>
      </c>
      <c r="C11" s="1692" t="s">
        <v>569</v>
      </c>
      <c r="D11" s="1693">
        <v>1242</v>
      </c>
      <c r="E11" s="1693">
        <v>3945433323</v>
      </c>
      <c r="F11" s="1693">
        <f>E11/D11</f>
        <v>3176677.3937198068</v>
      </c>
      <c r="G11" s="1694">
        <v>1438</v>
      </c>
      <c r="H11" s="1693">
        <v>4886886000</v>
      </c>
      <c r="I11" s="1695">
        <f>H11/G11</f>
        <v>3398390.8205841444</v>
      </c>
      <c r="J11" s="1694">
        <v>414</v>
      </c>
      <c r="K11" s="1693">
        <v>1224200000</v>
      </c>
      <c r="L11" s="1695">
        <f>K11/J11</f>
        <v>2957004.8309178744</v>
      </c>
      <c r="M11" s="1694">
        <f>1242/3</f>
        <v>414</v>
      </c>
      <c r="N11" s="1693">
        <v>1195914954</v>
      </c>
      <c r="O11" s="1695">
        <f>N11/M11</f>
        <v>2888683.4637681157</v>
      </c>
      <c r="P11" s="1696">
        <f>O11-F11</f>
        <v>-287993.92995169107</v>
      </c>
      <c r="Q11" s="1696">
        <f>O11-I11</f>
        <v>-509707.35681602871</v>
      </c>
      <c r="R11" s="1696">
        <f>O11-L11</f>
        <v>-68321.367149758618</v>
      </c>
    </row>
    <row r="12" spans="1:18" s="206" customFormat="1">
      <c r="A12" s="1690" t="s">
        <v>372</v>
      </c>
      <c r="B12" s="1691" t="s">
        <v>373</v>
      </c>
      <c r="C12" s="1692" t="s">
        <v>554</v>
      </c>
      <c r="D12" s="1693">
        <v>145</v>
      </c>
      <c r="E12" s="1693">
        <v>218620259</v>
      </c>
      <c r="F12" s="1693">
        <f t="shared" ref="F12:F73" si="0">E12/D12</f>
        <v>1507725.9241379311</v>
      </c>
      <c r="G12" s="1694">
        <v>145</v>
      </c>
      <c r="H12" s="1693">
        <v>223000000</v>
      </c>
      <c r="I12" s="1695">
        <f t="shared" ref="I12:I25" si="1">H12/G12</f>
        <v>1537931.0344827587</v>
      </c>
      <c r="J12" s="1697">
        <v>48.333333333333336</v>
      </c>
      <c r="K12" s="1693">
        <v>101000000</v>
      </c>
      <c r="L12" s="1695">
        <f t="shared" ref="L12:L25" si="2">K12/J12</f>
        <v>2089655.1724137929</v>
      </c>
      <c r="M12" s="1697">
        <f>145/3</f>
        <v>48.333333333333336</v>
      </c>
      <c r="N12" s="1693">
        <v>69787049</v>
      </c>
      <c r="O12" s="1695">
        <f>N12/M12</f>
        <v>1443869.9793103447</v>
      </c>
      <c r="P12" s="1696">
        <f t="shared" ref="P12:P36" si="3">O12-F12</f>
        <v>-63855.944827586412</v>
      </c>
      <c r="Q12" s="1696">
        <f t="shared" ref="Q12:Q73" si="4">O12-I12</f>
        <v>-94061.055172414053</v>
      </c>
      <c r="R12" s="1696">
        <f t="shared" ref="R12:R73" si="5">O12-L12</f>
        <v>-645785.19310344825</v>
      </c>
    </row>
    <row r="13" spans="1:18" s="206" customFormat="1" ht="22.5" customHeight="1">
      <c r="A13" s="1690" t="s">
        <v>374</v>
      </c>
      <c r="B13" s="1691" t="s">
        <v>375</v>
      </c>
      <c r="C13" s="1698" t="s">
        <v>570</v>
      </c>
      <c r="D13" s="1693">
        <v>130</v>
      </c>
      <c r="E13" s="1693">
        <v>36782415</v>
      </c>
      <c r="F13" s="1693">
        <f t="shared" si="0"/>
        <v>282941.65384615387</v>
      </c>
      <c r="G13" s="1694">
        <v>130</v>
      </c>
      <c r="H13" s="1693">
        <v>45150000</v>
      </c>
      <c r="I13" s="1695">
        <f t="shared" si="1"/>
        <v>347307.69230769231</v>
      </c>
      <c r="J13" s="1697">
        <v>43.333333333333336</v>
      </c>
      <c r="K13" s="1693">
        <v>14950000</v>
      </c>
      <c r="L13" s="1695">
        <f t="shared" si="2"/>
        <v>345000</v>
      </c>
      <c r="M13" s="1697">
        <f>130/3</f>
        <v>43.333333333333336</v>
      </c>
      <c r="N13" s="1693">
        <v>12109452</v>
      </c>
      <c r="O13" s="1695">
        <f t="shared" ref="O13:O23" si="6">N13/M13</f>
        <v>279448.89230769227</v>
      </c>
      <c r="P13" s="1696">
        <f t="shared" si="3"/>
        <v>-3492.7615384616074</v>
      </c>
      <c r="Q13" s="1696">
        <f t="shared" si="4"/>
        <v>-67858.800000000047</v>
      </c>
      <c r="R13" s="1696">
        <f t="shared" si="5"/>
        <v>-65551.107692307734</v>
      </c>
    </row>
    <row r="14" spans="1:18" s="206" customFormat="1" ht="24" customHeight="1">
      <c r="A14" s="1690" t="s">
        <v>376</v>
      </c>
      <c r="B14" s="1691" t="s">
        <v>377</v>
      </c>
      <c r="C14" s="1692" t="s">
        <v>571</v>
      </c>
      <c r="D14" s="1693">
        <v>160</v>
      </c>
      <c r="E14" s="1693">
        <v>383906580</v>
      </c>
      <c r="F14" s="1693">
        <f t="shared" si="0"/>
        <v>2399416.125</v>
      </c>
      <c r="G14" s="1694">
        <v>160</v>
      </c>
      <c r="H14" s="1693">
        <v>478000000</v>
      </c>
      <c r="I14" s="1695">
        <f t="shared" si="1"/>
        <v>2987500</v>
      </c>
      <c r="J14" s="1697">
        <v>53.333333333333336</v>
      </c>
      <c r="K14" s="1693">
        <v>169400000</v>
      </c>
      <c r="L14" s="1695">
        <f t="shared" si="2"/>
        <v>3176250</v>
      </c>
      <c r="M14" s="1697">
        <f>160/3</f>
        <v>53.333333333333336</v>
      </c>
      <c r="N14" s="1693">
        <v>129786457</v>
      </c>
      <c r="O14" s="1695">
        <f t="shared" si="6"/>
        <v>2433496.0687500001</v>
      </c>
      <c r="P14" s="1696">
        <f t="shared" si="3"/>
        <v>34079.943750000093</v>
      </c>
      <c r="Q14" s="1696">
        <f t="shared" si="4"/>
        <v>-554003.93124999991</v>
      </c>
      <c r="R14" s="1696">
        <f t="shared" si="5"/>
        <v>-742753.93124999991</v>
      </c>
    </row>
    <row r="15" spans="1:18" s="206" customFormat="1" ht="36" customHeight="1">
      <c r="A15" s="1690" t="s">
        <v>378</v>
      </c>
      <c r="B15" s="1691" t="s">
        <v>379</v>
      </c>
      <c r="C15" s="1692" t="s">
        <v>554</v>
      </c>
      <c r="D15" s="1693">
        <v>67</v>
      </c>
      <c r="E15" s="1693">
        <v>86347329</v>
      </c>
      <c r="F15" s="1693">
        <f t="shared" si="0"/>
        <v>1288766.1044776118</v>
      </c>
      <c r="G15" s="1694">
        <v>67</v>
      </c>
      <c r="H15" s="1693">
        <v>107000000</v>
      </c>
      <c r="I15" s="1695">
        <f t="shared" si="1"/>
        <v>1597014.9253731344</v>
      </c>
      <c r="J15" s="1697">
        <v>22.333333333333332</v>
      </c>
      <c r="K15" s="1693">
        <v>36424000</v>
      </c>
      <c r="L15" s="1695">
        <f t="shared" si="2"/>
        <v>1630925.3731343285</v>
      </c>
      <c r="M15" s="1697">
        <f>67/3</f>
        <v>22.333333333333332</v>
      </c>
      <c r="N15" s="1693">
        <v>29969377</v>
      </c>
      <c r="O15" s="1695">
        <f t="shared" si="6"/>
        <v>1341912.4029850748</v>
      </c>
      <c r="P15" s="1696">
        <f t="shared" si="3"/>
        <v>53146.298507462954</v>
      </c>
      <c r="Q15" s="1696">
        <f t="shared" si="4"/>
        <v>-255102.52238805965</v>
      </c>
      <c r="R15" s="1696">
        <f t="shared" si="5"/>
        <v>-289012.97014925373</v>
      </c>
    </row>
    <row r="16" spans="1:18" s="206" customFormat="1">
      <c r="A16" s="1690" t="s">
        <v>380</v>
      </c>
      <c r="B16" s="1691" t="s">
        <v>381</v>
      </c>
      <c r="C16" s="1692" t="s">
        <v>572</v>
      </c>
      <c r="D16" s="1693">
        <v>90</v>
      </c>
      <c r="E16" s="1693">
        <v>32344903</v>
      </c>
      <c r="F16" s="1693">
        <f t="shared" si="0"/>
        <v>359387.81111111114</v>
      </c>
      <c r="G16" s="1694">
        <v>90</v>
      </c>
      <c r="H16" s="1693">
        <v>40100000</v>
      </c>
      <c r="I16" s="1695">
        <f t="shared" si="1"/>
        <v>445555.55555555556</v>
      </c>
      <c r="J16" s="1697">
        <v>30</v>
      </c>
      <c r="K16" s="1693">
        <v>13366000</v>
      </c>
      <c r="L16" s="1695">
        <f t="shared" si="2"/>
        <v>445533.33333333331</v>
      </c>
      <c r="M16" s="1697">
        <f>90/3</f>
        <v>30</v>
      </c>
      <c r="N16" s="1693">
        <v>11026401</v>
      </c>
      <c r="O16" s="1695">
        <f t="shared" si="6"/>
        <v>367546.7</v>
      </c>
      <c r="P16" s="1696">
        <f t="shared" si="3"/>
        <v>8158.888888888876</v>
      </c>
      <c r="Q16" s="1696">
        <f t="shared" si="4"/>
        <v>-78008.85555555555</v>
      </c>
      <c r="R16" s="1696">
        <f t="shared" si="5"/>
        <v>-77986.633333333302</v>
      </c>
    </row>
    <row r="17" spans="1:18" s="206" customFormat="1" ht="15" customHeight="1">
      <c r="A17" s="1690" t="s">
        <v>382</v>
      </c>
      <c r="B17" s="1691" t="s">
        <v>383</v>
      </c>
      <c r="C17" s="1692" t="s">
        <v>573</v>
      </c>
      <c r="D17" s="1693">
        <v>2400</v>
      </c>
      <c r="E17" s="1693">
        <v>81455079</v>
      </c>
      <c r="F17" s="1693">
        <f t="shared" si="0"/>
        <v>33939.616249999999</v>
      </c>
      <c r="G17" s="1694">
        <v>2400</v>
      </c>
      <c r="H17" s="1693">
        <v>86300000</v>
      </c>
      <c r="I17" s="1695">
        <f t="shared" si="1"/>
        <v>35958.333333333336</v>
      </c>
      <c r="J17" s="1697">
        <v>800</v>
      </c>
      <c r="K17" s="1693">
        <v>30000000</v>
      </c>
      <c r="L17" s="1695">
        <f t="shared" si="2"/>
        <v>37500</v>
      </c>
      <c r="M17" s="1697">
        <f>2400/3</f>
        <v>800</v>
      </c>
      <c r="N17" s="1693">
        <v>28914610</v>
      </c>
      <c r="O17" s="1695">
        <f t="shared" si="6"/>
        <v>36143.262499999997</v>
      </c>
      <c r="P17" s="1696">
        <f t="shared" si="3"/>
        <v>2203.646249999998</v>
      </c>
      <c r="Q17" s="1696">
        <f t="shared" si="4"/>
        <v>184.92916666666133</v>
      </c>
      <c r="R17" s="1696">
        <f t="shared" si="5"/>
        <v>-1356.7375000000029</v>
      </c>
    </row>
    <row r="18" spans="1:18" s="206" customFormat="1">
      <c r="A18" s="1690" t="s">
        <v>256</v>
      </c>
      <c r="B18" s="1691" t="s">
        <v>257</v>
      </c>
      <c r="C18" s="1692" t="s">
        <v>569</v>
      </c>
      <c r="D18" s="1693">
        <v>250</v>
      </c>
      <c r="E18" s="1693">
        <v>409041462</v>
      </c>
      <c r="F18" s="1693">
        <f t="shared" si="0"/>
        <v>1636165.848</v>
      </c>
      <c r="G18" s="1694">
        <v>250</v>
      </c>
      <c r="H18" s="1693">
        <v>426088000</v>
      </c>
      <c r="I18" s="1695">
        <f t="shared" si="1"/>
        <v>1704352</v>
      </c>
      <c r="J18" s="1697">
        <v>83.333333333333329</v>
      </c>
      <c r="K18" s="1693">
        <v>139500000</v>
      </c>
      <c r="L18" s="1695">
        <f t="shared" si="2"/>
        <v>1674000</v>
      </c>
      <c r="M18" s="1697">
        <f>250/3</f>
        <v>83.333333333333329</v>
      </c>
      <c r="N18" s="1693">
        <v>135317768.28</v>
      </c>
      <c r="O18" s="1695">
        <f t="shared" si="6"/>
        <v>1623813.2193600002</v>
      </c>
      <c r="P18" s="1696">
        <f t="shared" si="3"/>
        <v>-12352.628639999777</v>
      </c>
      <c r="Q18" s="1696">
        <f t="shared" si="4"/>
        <v>-80538.780639999779</v>
      </c>
      <c r="R18" s="1696">
        <f t="shared" si="5"/>
        <v>-50186.780639999779</v>
      </c>
    </row>
    <row r="19" spans="1:18" s="206" customFormat="1" ht="16.5" customHeight="1">
      <c r="A19" s="1690" t="s">
        <v>384</v>
      </c>
      <c r="B19" s="1691" t="s">
        <v>385</v>
      </c>
      <c r="C19" s="1692" t="s">
        <v>569</v>
      </c>
      <c r="D19" s="1693">
        <v>24</v>
      </c>
      <c r="E19" s="1693">
        <v>39948833</v>
      </c>
      <c r="F19" s="1693">
        <f t="shared" si="0"/>
        <v>1664534.7083333333</v>
      </c>
      <c r="G19" s="1694">
        <v>24</v>
      </c>
      <c r="H19" s="1693">
        <v>46400000</v>
      </c>
      <c r="I19" s="1695">
        <f t="shared" si="1"/>
        <v>1933333.3333333333</v>
      </c>
      <c r="J19" s="1697">
        <v>8</v>
      </c>
      <c r="K19" s="1693">
        <v>18350000</v>
      </c>
      <c r="L19" s="1695">
        <f t="shared" si="2"/>
        <v>2293750</v>
      </c>
      <c r="M19" s="1697">
        <f>24/3</f>
        <v>8</v>
      </c>
      <c r="N19" s="1693">
        <v>13432877</v>
      </c>
      <c r="O19" s="1695">
        <f t="shared" si="6"/>
        <v>1679109.625</v>
      </c>
      <c r="P19" s="1696">
        <f t="shared" si="3"/>
        <v>14574.916666666744</v>
      </c>
      <c r="Q19" s="1696">
        <f t="shared" si="4"/>
        <v>-254223.70833333326</v>
      </c>
      <c r="R19" s="1696">
        <f t="shared" si="5"/>
        <v>-614640.375</v>
      </c>
    </row>
    <row r="20" spans="1:18" s="206" customFormat="1" ht="16.5" customHeight="1">
      <c r="A20" s="1690" t="s">
        <v>386</v>
      </c>
      <c r="B20" s="1691" t="s">
        <v>387</v>
      </c>
      <c r="C20" s="1692" t="s">
        <v>569</v>
      </c>
      <c r="D20" s="1693">
        <v>410</v>
      </c>
      <c r="E20" s="1693">
        <v>736170560</v>
      </c>
      <c r="F20" s="1693">
        <f t="shared" si="0"/>
        <v>1795537.9512195121</v>
      </c>
      <c r="G20" s="1694">
        <v>427</v>
      </c>
      <c r="H20" s="1693">
        <v>797000000</v>
      </c>
      <c r="I20" s="1695">
        <f t="shared" si="1"/>
        <v>1866510.5386416861</v>
      </c>
      <c r="J20" s="1697">
        <v>136.66666666666666</v>
      </c>
      <c r="K20" s="1693">
        <v>284800000</v>
      </c>
      <c r="L20" s="1695">
        <f t="shared" si="2"/>
        <v>2083902.4390243904</v>
      </c>
      <c r="M20" s="1697">
        <f>410/3</f>
        <v>136.66666666666666</v>
      </c>
      <c r="N20" s="1693">
        <v>237160041</v>
      </c>
      <c r="O20" s="1695">
        <f t="shared" si="6"/>
        <v>1735317.3731707318</v>
      </c>
      <c r="P20" s="1696">
        <f t="shared" si="3"/>
        <v>-60220.578048780328</v>
      </c>
      <c r="Q20" s="1696">
        <f t="shared" si="4"/>
        <v>-131193.16547095426</v>
      </c>
      <c r="R20" s="1696">
        <f t="shared" si="5"/>
        <v>-348585.0658536586</v>
      </c>
    </row>
    <row r="21" spans="1:18" s="206" customFormat="1" ht="16.5" customHeight="1">
      <c r="A21" s="1690" t="s">
        <v>388</v>
      </c>
      <c r="B21" s="1691" t="s">
        <v>389</v>
      </c>
      <c r="C21" s="1692" t="s">
        <v>554</v>
      </c>
      <c r="D21" s="1693">
        <v>234</v>
      </c>
      <c r="E21" s="1693">
        <v>405887063</v>
      </c>
      <c r="F21" s="1693">
        <f t="shared" si="0"/>
        <v>1734560.0982905983</v>
      </c>
      <c r="G21" s="1694">
        <v>234</v>
      </c>
      <c r="H21" s="1693">
        <v>474000000</v>
      </c>
      <c r="I21" s="1695">
        <f t="shared" si="1"/>
        <v>2025641.0256410257</v>
      </c>
      <c r="J21" s="1697">
        <v>78</v>
      </c>
      <c r="K21" s="1693">
        <v>174000000</v>
      </c>
      <c r="L21" s="1695">
        <f t="shared" si="2"/>
        <v>2230769.230769231</v>
      </c>
      <c r="M21" s="1697">
        <f>234/3</f>
        <v>78</v>
      </c>
      <c r="N21" s="1693">
        <v>149417828</v>
      </c>
      <c r="O21" s="1695">
        <f t="shared" si="6"/>
        <v>1915613.1794871795</v>
      </c>
      <c r="P21" s="1696">
        <f t="shared" si="3"/>
        <v>181053.08119658125</v>
      </c>
      <c r="Q21" s="1696">
        <f t="shared" si="4"/>
        <v>-110027.84615384624</v>
      </c>
      <c r="R21" s="1696">
        <f t="shared" si="5"/>
        <v>-315156.05128205149</v>
      </c>
    </row>
    <row r="22" spans="1:18" s="206" customFormat="1" ht="16.5" customHeight="1">
      <c r="A22" s="1690" t="s">
        <v>390</v>
      </c>
      <c r="B22" s="1691" t="s">
        <v>391</v>
      </c>
      <c r="C22" s="1692" t="s">
        <v>554</v>
      </c>
      <c r="D22" s="1693">
        <v>599</v>
      </c>
      <c r="E22" s="1693">
        <v>955952577</v>
      </c>
      <c r="F22" s="1693">
        <f t="shared" si="0"/>
        <v>1595914.1519198664</v>
      </c>
      <c r="G22" s="1694">
        <v>599</v>
      </c>
      <c r="H22" s="1693">
        <v>952000000</v>
      </c>
      <c r="I22" s="1695">
        <f t="shared" si="1"/>
        <v>1589315.5258764608</v>
      </c>
      <c r="J22" s="1697">
        <v>199.66666666666666</v>
      </c>
      <c r="K22" s="1693">
        <v>429000000</v>
      </c>
      <c r="L22" s="1695">
        <f t="shared" si="2"/>
        <v>2148580.9682804677</v>
      </c>
      <c r="M22" s="1697">
        <f>599/3</f>
        <v>199.66666666666666</v>
      </c>
      <c r="N22" s="1693">
        <v>315205997</v>
      </c>
      <c r="O22" s="1695">
        <f t="shared" si="6"/>
        <v>1578661.0868113523</v>
      </c>
      <c r="P22" s="1696">
        <f t="shared" si="3"/>
        <v>-17253.065108514158</v>
      </c>
      <c r="Q22" s="1696">
        <f t="shared" si="4"/>
        <v>-10654.439065108541</v>
      </c>
      <c r="R22" s="1696">
        <f t="shared" si="5"/>
        <v>-569919.88146911538</v>
      </c>
    </row>
    <row r="23" spans="1:18" s="206" customFormat="1" ht="16.5" customHeight="1">
      <c r="A23" s="1690" t="s">
        <v>392</v>
      </c>
      <c r="B23" s="1691" t="s">
        <v>393</v>
      </c>
      <c r="C23" s="1692" t="s">
        <v>554</v>
      </c>
      <c r="D23" s="1693">
        <v>54</v>
      </c>
      <c r="E23" s="1693">
        <v>227667172</v>
      </c>
      <c r="F23" s="1693">
        <f t="shared" si="0"/>
        <v>4216058.7407407407</v>
      </c>
      <c r="G23" s="1694">
        <v>54</v>
      </c>
      <c r="H23" s="1693">
        <v>329112000</v>
      </c>
      <c r="I23" s="1695">
        <f t="shared" si="1"/>
        <v>6094666.666666667</v>
      </c>
      <c r="J23" s="1697">
        <v>18</v>
      </c>
      <c r="K23" s="1693">
        <v>164000000</v>
      </c>
      <c r="L23" s="1695">
        <f t="shared" si="2"/>
        <v>9111111.1111111119</v>
      </c>
      <c r="M23" s="1697">
        <f>54/3</f>
        <v>18</v>
      </c>
      <c r="N23" s="1699">
        <v>137398654</v>
      </c>
      <c r="O23" s="1700">
        <f t="shared" si="6"/>
        <v>7633258.555555556</v>
      </c>
      <c r="P23" s="1696">
        <f t="shared" si="3"/>
        <v>3417199.8148148153</v>
      </c>
      <c r="Q23" s="1696">
        <f t="shared" si="4"/>
        <v>1538591.888888889</v>
      </c>
      <c r="R23" s="1696">
        <f t="shared" si="5"/>
        <v>-1477852.555555556</v>
      </c>
    </row>
    <row r="24" spans="1:18" s="206" customFormat="1" ht="16.5" customHeight="1">
      <c r="A24" s="1690" t="s">
        <v>394</v>
      </c>
      <c r="B24" s="1691" t="s">
        <v>395</v>
      </c>
      <c r="C24" s="1692" t="s">
        <v>558</v>
      </c>
      <c r="D24" s="1693">
        <v>36</v>
      </c>
      <c r="E24" s="1693">
        <v>790694087</v>
      </c>
      <c r="F24" s="1693">
        <f t="shared" si="0"/>
        <v>21963724.638888888</v>
      </c>
      <c r="G24" s="1694">
        <v>78</v>
      </c>
      <c r="H24" s="1693">
        <v>1326942841</v>
      </c>
      <c r="I24" s="1695">
        <f t="shared" si="1"/>
        <v>17012087.705128204</v>
      </c>
      <c r="J24" s="1694">
        <v>0</v>
      </c>
      <c r="K24" s="1693">
        <v>0</v>
      </c>
      <c r="L24" s="1695">
        <v>0</v>
      </c>
      <c r="M24" s="1697">
        <v>0</v>
      </c>
      <c r="N24" s="1699">
        <v>0</v>
      </c>
      <c r="O24" s="1700">
        <v>0</v>
      </c>
      <c r="P24" s="1696">
        <v>0</v>
      </c>
      <c r="Q24" s="1696">
        <f t="shared" si="4"/>
        <v>-17012087.705128204</v>
      </c>
      <c r="R24" s="1696">
        <f t="shared" si="5"/>
        <v>0</v>
      </c>
    </row>
    <row r="25" spans="1:18" s="206" customFormat="1" ht="27.75" customHeight="1">
      <c r="A25" s="1690" t="s">
        <v>396</v>
      </c>
      <c r="B25" s="1691" t="s">
        <v>574</v>
      </c>
      <c r="C25" s="1692" t="s">
        <v>560</v>
      </c>
      <c r="D25" s="1693">
        <v>14</v>
      </c>
      <c r="E25" s="1693">
        <v>209960508</v>
      </c>
      <c r="F25" s="1693">
        <f t="shared" si="0"/>
        <v>14997179.142857144</v>
      </c>
      <c r="G25" s="1694">
        <v>10</v>
      </c>
      <c r="H25" s="1693">
        <v>42400000</v>
      </c>
      <c r="I25" s="1695">
        <f t="shared" si="1"/>
        <v>4240000</v>
      </c>
      <c r="J25" s="1694">
        <v>10</v>
      </c>
      <c r="K25" s="1693">
        <v>42400000</v>
      </c>
      <c r="L25" s="1695">
        <f t="shared" si="2"/>
        <v>4240000</v>
      </c>
      <c r="M25" s="1694">
        <v>0</v>
      </c>
      <c r="N25" s="848">
        <v>0</v>
      </c>
      <c r="O25" s="1700">
        <v>0</v>
      </c>
      <c r="P25" s="1696">
        <f t="shared" si="3"/>
        <v>-14997179.142857144</v>
      </c>
      <c r="Q25" s="1696">
        <f t="shared" si="4"/>
        <v>-4240000</v>
      </c>
      <c r="R25" s="1696">
        <f t="shared" si="5"/>
        <v>-4240000</v>
      </c>
    </row>
    <row r="26" spans="1:18" s="206" customFormat="1" ht="33.75" customHeight="1">
      <c r="A26" s="1690" t="s">
        <v>397</v>
      </c>
      <c r="B26" s="1691" t="s">
        <v>575</v>
      </c>
      <c r="C26" s="1692" t="s">
        <v>558</v>
      </c>
      <c r="D26" s="1693">
        <v>0</v>
      </c>
      <c r="E26" s="1693">
        <v>0</v>
      </c>
      <c r="F26" s="1693">
        <v>0</v>
      </c>
      <c r="G26" s="1694">
        <v>0</v>
      </c>
      <c r="H26" s="1693"/>
      <c r="I26" s="1695"/>
      <c r="J26" s="1694"/>
      <c r="K26" s="1693"/>
      <c r="L26" s="1695"/>
      <c r="M26" s="1694">
        <v>0</v>
      </c>
      <c r="N26" s="1699">
        <v>0</v>
      </c>
      <c r="O26" s="1700">
        <v>0</v>
      </c>
      <c r="P26" s="1696">
        <v>0</v>
      </c>
      <c r="Q26" s="1696">
        <v>0</v>
      </c>
      <c r="R26" s="1696">
        <v>0</v>
      </c>
    </row>
    <row r="27" spans="1:18" s="206" customFormat="1" ht="15.75" customHeight="1">
      <c r="A27" s="1690" t="s">
        <v>398</v>
      </c>
      <c r="B27" s="1691" t="s">
        <v>399</v>
      </c>
      <c r="C27" s="1692" t="s">
        <v>558</v>
      </c>
      <c r="D27" s="1693">
        <v>0</v>
      </c>
      <c r="E27" s="1693">
        <v>0</v>
      </c>
      <c r="F27" s="1693">
        <v>0</v>
      </c>
      <c r="G27" s="1694">
        <v>0</v>
      </c>
      <c r="H27" s="1693"/>
      <c r="I27" s="1695"/>
      <c r="J27" s="1694"/>
      <c r="K27" s="1693"/>
      <c r="L27" s="1695"/>
      <c r="M27" s="1694">
        <v>0</v>
      </c>
      <c r="N27" s="1699">
        <v>0</v>
      </c>
      <c r="O27" s="1700">
        <v>0</v>
      </c>
      <c r="P27" s="1696">
        <f t="shared" si="3"/>
        <v>0</v>
      </c>
      <c r="Q27" s="1696">
        <v>0</v>
      </c>
      <c r="R27" s="1696">
        <f t="shared" si="5"/>
        <v>0</v>
      </c>
    </row>
    <row r="28" spans="1:18" s="206" customFormat="1" ht="15.75" customHeight="1">
      <c r="A28" s="1690" t="s">
        <v>400</v>
      </c>
      <c r="B28" s="1691" t="s">
        <v>401</v>
      </c>
      <c r="C28" s="1692" t="s">
        <v>558</v>
      </c>
      <c r="D28" s="1693">
        <v>90</v>
      </c>
      <c r="E28" s="1693">
        <v>18315480</v>
      </c>
      <c r="F28" s="1693">
        <f t="shared" si="0"/>
        <v>203505.33333333334</v>
      </c>
      <c r="G28" s="1694">
        <v>40</v>
      </c>
      <c r="H28" s="1693">
        <v>8500000</v>
      </c>
      <c r="I28" s="1695">
        <f t="shared" ref="I28" si="7">H28/G28</f>
        <v>212500</v>
      </c>
      <c r="J28" s="1694">
        <v>40</v>
      </c>
      <c r="K28" s="1693">
        <v>8500000</v>
      </c>
      <c r="L28" s="1695">
        <f t="shared" ref="L28" si="8">K28/J28</f>
        <v>212500</v>
      </c>
      <c r="M28" s="1694">
        <v>40</v>
      </c>
      <c r="N28" s="1699">
        <v>8100000</v>
      </c>
      <c r="O28" s="1699">
        <f>N28/M28</f>
        <v>202500</v>
      </c>
      <c r="P28" s="1696">
        <f t="shared" si="3"/>
        <v>-1005.333333333343</v>
      </c>
      <c r="Q28" s="1696">
        <f t="shared" si="4"/>
        <v>-10000</v>
      </c>
      <c r="R28" s="1696">
        <f t="shared" si="5"/>
        <v>-10000</v>
      </c>
    </row>
    <row r="29" spans="1:18" s="206" customFormat="1" ht="33" customHeight="1">
      <c r="A29" s="1690" t="s">
        <v>402</v>
      </c>
      <c r="B29" s="1691" t="s">
        <v>576</v>
      </c>
      <c r="C29" s="1692" t="s">
        <v>558</v>
      </c>
      <c r="D29" s="1693">
        <v>0</v>
      </c>
      <c r="E29" s="1693">
        <v>0</v>
      </c>
      <c r="F29" s="1693">
        <v>0</v>
      </c>
      <c r="G29" s="1694">
        <v>0</v>
      </c>
      <c r="H29" s="1693"/>
      <c r="I29" s="1695"/>
      <c r="J29" s="1694"/>
      <c r="K29" s="1693"/>
      <c r="L29" s="1695"/>
      <c r="M29" s="1694">
        <v>0</v>
      </c>
      <c r="N29" s="1699">
        <v>0</v>
      </c>
      <c r="O29" s="1700">
        <v>0</v>
      </c>
      <c r="P29" s="1696">
        <f t="shared" si="3"/>
        <v>0</v>
      </c>
      <c r="Q29" s="1693">
        <v>0</v>
      </c>
      <c r="R29" s="1693">
        <v>0</v>
      </c>
    </row>
    <row r="30" spans="1:18" s="206" customFormat="1" ht="33" customHeight="1">
      <c r="A30" s="1690" t="s">
        <v>403</v>
      </c>
      <c r="B30" s="1691" t="s">
        <v>577</v>
      </c>
      <c r="C30" s="1692" t="s">
        <v>558</v>
      </c>
      <c r="D30" s="1693">
        <v>0</v>
      </c>
      <c r="E30" s="1693">
        <v>0</v>
      </c>
      <c r="F30" s="1693">
        <v>0</v>
      </c>
      <c r="G30" s="1694">
        <v>0</v>
      </c>
      <c r="H30" s="1693"/>
      <c r="I30" s="1695"/>
      <c r="J30" s="1694"/>
      <c r="K30" s="1693"/>
      <c r="L30" s="1695"/>
      <c r="M30" s="1694">
        <v>0</v>
      </c>
      <c r="N30" s="1699">
        <v>0</v>
      </c>
      <c r="O30" s="1700">
        <v>0</v>
      </c>
      <c r="P30" s="1696">
        <f t="shared" si="3"/>
        <v>0</v>
      </c>
      <c r="Q30" s="1693">
        <v>0</v>
      </c>
      <c r="R30" s="1693">
        <v>0</v>
      </c>
    </row>
    <row r="31" spans="1:18" s="206" customFormat="1" ht="43.5" customHeight="1">
      <c r="A31" s="1690" t="s">
        <v>404</v>
      </c>
      <c r="B31" s="1691" t="s">
        <v>578</v>
      </c>
      <c r="C31" s="1692" t="s">
        <v>558</v>
      </c>
      <c r="D31" s="1693">
        <v>0</v>
      </c>
      <c r="E31" s="1693">
        <v>0</v>
      </c>
      <c r="F31" s="1693">
        <v>0</v>
      </c>
      <c r="G31" s="1694">
        <v>2</v>
      </c>
      <c r="H31" s="1693">
        <v>10000000</v>
      </c>
      <c r="I31" s="1695">
        <f t="shared" ref="I31" si="9">H31/G31</f>
        <v>5000000</v>
      </c>
      <c r="J31" s="1694"/>
      <c r="K31" s="1693"/>
      <c r="L31" s="1695"/>
      <c r="M31" s="1694">
        <v>0</v>
      </c>
      <c r="N31" s="1699">
        <v>0</v>
      </c>
      <c r="O31" s="1700">
        <v>0</v>
      </c>
      <c r="P31" s="1696">
        <f t="shared" si="3"/>
        <v>0</v>
      </c>
      <c r="Q31" s="1693">
        <v>0</v>
      </c>
      <c r="R31" s="1693">
        <v>0</v>
      </c>
    </row>
    <row r="32" spans="1:18" s="206" customFormat="1" ht="18" customHeight="1">
      <c r="A32" s="1690" t="s">
        <v>405</v>
      </c>
      <c r="B32" s="1691" t="s">
        <v>406</v>
      </c>
      <c r="C32" s="1692" t="s">
        <v>563</v>
      </c>
      <c r="D32" s="1693">
        <v>0</v>
      </c>
      <c r="E32" s="1693">
        <v>0</v>
      </c>
      <c r="F32" s="1693">
        <v>0</v>
      </c>
      <c r="G32" s="1694">
        <v>0</v>
      </c>
      <c r="H32" s="1693"/>
      <c r="I32" s="1695"/>
      <c r="J32" s="1694"/>
      <c r="K32" s="1693"/>
      <c r="L32" s="1695"/>
      <c r="M32" s="1694">
        <v>0</v>
      </c>
      <c r="N32" s="1699">
        <v>0</v>
      </c>
      <c r="O32" s="1700">
        <v>0</v>
      </c>
      <c r="P32" s="1696">
        <f t="shared" si="3"/>
        <v>0</v>
      </c>
      <c r="Q32" s="1693">
        <v>0</v>
      </c>
      <c r="R32" s="1693">
        <v>0</v>
      </c>
    </row>
    <row r="33" spans="1:18" s="206" customFormat="1" ht="18" customHeight="1">
      <c r="A33" s="1690" t="s">
        <v>407</v>
      </c>
      <c r="B33" s="1691" t="s">
        <v>408</v>
      </c>
      <c r="C33" s="1692" t="s">
        <v>558</v>
      </c>
      <c r="D33" s="1693">
        <v>20</v>
      </c>
      <c r="E33" s="1693">
        <v>513012</v>
      </c>
      <c r="F33" s="1693">
        <f t="shared" si="0"/>
        <v>25650.6</v>
      </c>
      <c r="G33" s="1694"/>
      <c r="H33" s="1693"/>
      <c r="I33" s="1695"/>
      <c r="J33" s="1694"/>
      <c r="K33" s="1693"/>
      <c r="L33" s="1695"/>
      <c r="M33" s="1694"/>
      <c r="N33" s="1699"/>
      <c r="O33" s="1700"/>
      <c r="P33" s="1696"/>
      <c r="Q33" s="1696"/>
      <c r="R33" s="1696"/>
    </row>
    <row r="34" spans="1:18" s="206" customFormat="1" ht="37.5" customHeight="1">
      <c r="A34" s="1690" t="s">
        <v>409</v>
      </c>
      <c r="B34" s="1691" t="s">
        <v>579</v>
      </c>
      <c r="C34" s="1692" t="s">
        <v>558</v>
      </c>
      <c r="D34" s="1693">
        <v>0</v>
      </c>
      <c r="E34" s="1693">
        <v>0</v>
      </c>
      <c r="F34" s="1693">
        <v>0</v>
      </c>
      <c r="G34" s="1694"/>
      <c r="H34" s="1693"/>
      <c r="I34" s="1695"/>
      <c r="J34" s="1694"/>
      <c r="K34" s="1693"/>
      <c r="L34" s="1695"/>
      <c r="M34" s="1694">
        <v>0</v>
      </c>
      <c r="N34" s="1699">
        <v>0</v>
      </c>
      <c r="O34" s="1700">
        <v>0</v>
      </c>
      <c r="P34" s="1696">
        <f t="shared" si="3"/>
        <v>0</v>
      </c>
      <c r="Q34" s="1693">
        <v>0</v>
      </c>
      <c r="R34" s="1693">
        <v>0</v>
      </c>
    </row>
    <row r="35" spans="1:18" s="206" customFormat="1" ht="37.5" customHeight="1">
      <c r="A35" s="1690" t="s">
        <v>410</v>
      </c>
      <c r="B35" s="1691" t="s">
        <v>580</v>
      </c>
      <c r="C35" s="1692" t="s">
        <v>560</v>
      </c>
      <c r="D35" s="1693">
        <v>0</v>
      </c>
      <c r="E35" s="1693">
        <v>0</v>
      </c>
      <c r="F35" s="1693">
        <v>0</v>
      </c>
      <c r="G35" s="1694">
        <v>1</v>
      </c>
      <c r="H35" s="1693">
        <v>9600000</v>
      </c>
      <c r="I35" s="1695">
        <f t="shared" ref="I35" si="10">H35/G35</f>
        <v>9600000</v>
      </c>
      <c r="J35" s="1694">
        <v>1</v>
      </c>
      <c r="K35" s="1693">
        <v>9600000</v>
      </c>
      <c r="L35" s="1695">
        <v>9600000</v>
      </c>
      <c r="M35" s="1694">
        <v>1</v>
      </c>
      <c r="N35" s="1699">
        <v>9598800</v>
      </c>
      <c r="O35" s="1700">
        <v>9598800</v>
      </c>
      <c r="P35" s="1696">
        <f t="shared" si="3"/>
        <v>9598800</v>
      </c>
      <c r="Q35" s="1693">
        <v>0</v>
      </c>
      <c r="R35" s="1693">
        <v>0</v>
      </c>
    </row>
    <row r="36" spans="1:18" s="206" customFormat="1" ht="56.25" customHeight="1">
      <c r="A36" s="1690" t="s">
        <v>411</v>
      </c>
      <c r="B36" s="1691" t="s">
        <v>581</v>
      </c>
      <c r="C36" s="1692" t="s">
        <v>551</v>
      </c>
      <c r="D36" s="1693">
        <v>0</v>
      </c>
      <c r="E36" s="1693">
        <v>0</v>
      </c>
      <c r="F36" s="1693">
        <v>0</v>
      </c>
      <c r="G36" s="1694"/>
      <c r="H36" s="1693"/>
      <c r="I36" s="1695"/>
      <c r="J36" s="1694"/>
      <c r="K36" s="1693"/>
      <c r="L36" s="1695"/>
      <c r="M36" s="1694">
        <v>0</v>
      </c>
      <c r="N36" s="1699">
        <v>0</v>
      </c>
      <c r="O36" s="1700">
        <v>0</v>
      </c>
      <c r="P36" s="1696">
        <f t="shared" si="3"/>
        <v>0</v>
      </c>
      <c r="Q36" s="1693">
        <v>0</v>
      </c>
      <c r="R36" s="1693">
        <v>0</v>
      </c>
    </row>
    <row r="37" spans="1:18" s="206" customFormat="1" ht="33" customHeight="1">
      <c r="A37" s="1690" t="s">
        <v>412</v>
      </c>
      <c r="B37" s="1691" t="s">
        <v>413</v>
      </c>
      <c r="C37" s="1692" t="s">
        <v>558</v>
      </c>
      <c r="D37" s="1693">
        <v>1</v>
      </c>
      <c r="E37" s="1693">
        <v>3834000</v>
      </c>
      <c r="F37" s="1693">
        <f t="shared" si="0"/>
        <v>3834000</v>
      </c>
      <c r="G37" s="1694"/>
      <c r="H37" s="1693"/>
      <c r="I37" s="1695"/>
      <c r="J37" s="1694"/>
      <c r="K37" s="1693"/>
      <c r="L37" s="1695"/>
      <c r="M37" s="1694"/>
      <c r="N37" s="1699"/>
      <c r="O37" s="1700"/>
      <c r="P37" s="1696"/>
      <c r="Q37" s="1696">
        <f t="shared" si="4"/>
        <v>0</v>
      </c>
      <c r="R37" s="1696">
        <f t="shared" si="5"/>
        <v>0</v>
      </c>
    </row>
    <row r="38" spans="1:18" s="206" customFormat="1" ht="33" customHeight="1">
      <c r="A38" s="1690" t="s">
        <v>414</v>
      </c>
      <c r="B38" s="1691" t="s">
        <v>415</v>
      </c>
      <c r="C38" s="1692" t="s">
        <v>556</v>
      </c>
      <c r="D38" s="1693">
        <v>0</v>
      </c>
      <c r="E38" s="1693">
        <v>0</v>
      </c>
      <c r="F38" s="1693">
        <v>0</v>
      </c>
      <c r="G38" s="1694"/>
      <c r="H38" s="1693"/>
      <c r="I38" s="1695"/>
      <c r="J38" s="1694"/>
      <c r="K38" s="1693"/>
      <c r="L38" s="1695"/>
      <c r="M38" s="1694"/>
      <c r="N38" s="1699"/>
      <c r="O38" s="1700"/>
      <c r="P38" s="1696"/>
      <c r="Q38" s="1693">
        <v>0</v>
      </c>
      <c r="R38" s="1693">
        <v>0</v>
      </c>
    </row>
    <row r="39" spans="1:18" s="206" customFormat="1" ht="43.5" customHeight="1">
      <c r="A39" s="1690" t="s">
        <v>416</v>
      </c>
      <c r="B39" s="1691" t="s">
        <v>582</v>
      </c>
      <c r="C39" s="1692" t="s">
        <v>556</v>
      </c>
      <c r="D39" s="1693">
        <v>1433.5328578595318</v>
      </c>
      <c r="E39" s="1693">
        <v>285750883</v>
      </c>
      <c r="F39" s="1693">
        <f t="shared" si="0"/>
        <v>199333.33333333334</v>
      </c>
      <c r="G39" s="1694">
        <v>170</v>
      </c>
      <c r="H39" s="1693">
        <v>34029811</v>
      </c>
      <c r="I39" s="1695">
        <f t="shared" ref="I39" si="11">H39/G39</f>
        <v>200175.35882352942</v>
      </c>
      <c r="J39" s="1693">
        <v>150</v>
      </c>
      <c r="K39" s="1693">
        <v>30000000</v>
      </c>
      <c r="L39" s="1695">
        <f t="shared" ref="L39" si="12">K39/J39</f>
        <v>200000</v>
      </c>
      <c r="M39" s="1701">
        <v>0</v>
      </c>
      <c r="N39" s="1699">
        <v>0</v>
      </c>
      <c r="O39" s="1700"/>
      <c r="P39" s="1696"/>
      <c r="Q39" s="1696">
        <f t="shared" si="4"/>
        <v>-200175.35882352942</v>
      </c>
      <c r="R39" s="1696">
        <f t="shared" si="5"/>
        <v>-200000</v>
      </c>
    </row>
    <row r="40" spans="1:18" s="206" customFormat="1" ht="56.25" customHeight="1">
      <c r="A40" s="1690" t="s">
        <v>417</v>
      </c>
      <c r="B40" s="1691" t="s">
        <v>583</v>
      </c>
      <c r="C40" s="1692" t="s">
        <v>556</v>
      </c>
      <c r="D40" s="1693">
        <v>50</v>
      </c>
      <c r="E40" s="1693">
        <v>5738192</v>
      </c>
      <c r="F40" s="1693">
        <f t="shared" si="0"/>
        <v>114763.84</v>
      </c>
      <c r="G40" s="1694"/>
      <c r="H40" s="1693"/>
      <c r="I40" s="1695"/>
      <c r="J40" s="1694"/>
      <c r="K40" s="1693"/>
      <c r="L40" s="1695"/>
      <c r="M40" s="1702"/>
      <c r="N40" s="1699"/>
      <c r="O40" s="1700"/>
      <c r="P40" s="1696"/>
      <c r="Q40" s="1696">
        <f t="shared" si="4"/>
        <v>0</v>
      </c>
      <c r="R40" s="1696">
        <f t="shared" si="5"/>
        <v>0</v>
      </c>
    </row>
    <row r="41" spans="1:18" ht="49.5" customHeight="1">
      <c r="A41" s="506" t="s">
        <v>418</v>
      </c>
      <c r="B41" s="1055" t="s">
        <v>584</v>
      </c>
      <c r="C41" s="1061" t="s">
        <v>556</v>
      </c>
      <c r="D41" s="1062">
        <v>0</v>
      </c>
      <c r="E41" s="1062">
        <v>0</v>
      </c>
      <c r="F41" s="1062">
        <v>0</v>
      </c>
      <c r="G41" s="1063"/>
      <c r="H41" s="1062"/>
      <c r="I41" s="1064"/>
      <c r="J41" s="1063"/>
      <c r="K41" s="1062"/>
      <c r="L41" s="1064"/>
      <c r="M41" s="1072"/>
      <c r="N41" s="1068"/>
      <c r="O41" s="1069"/>
      <c r="P41" s="1066"/>
      <c r="Q41" s="1066">
        <f t="shared" si="4"/>
        <v>0</v>
      </c>
      <c r="R41" s="1066">
        <f t="shared" si="5"/>
        <v>0</v>
      </c>
    </row>
    <row r="42" spans="1:18" ht="49.5" customHeight="1">
      <c r="A42" s="506" t="s">
        <v>419</v>
      </c>
      <c r="B42" s="1055" t="s">
        <v>585</v>
      </c>
      <c r="C42" s="1061" t="s">
        <v>556</v>
      </c>
      <c r="D42" s="1062">
        <v>1400</v>
      </c>
      <c r="E42" s="1062">
        <v>267350290</v>
      </c>
      <c r="F42" s="1062">
        <f t="shared" si="0"/>
        <v>190964.49285714285</v>
      </c>
      <c r="G42" s="1063">
        <v>220</v>
      </c>
      <c r="H42" s="1062">
        <v>41000000</v>
      </c>
      <c r="I42" s="1064">
        <f t="shared" ref="I42:I47" si="13">H42/G42</f>
        <v>186363.63636363635</v>
      </c>
      <c r="J42" s="1063">
        <v>220</v>
      </c>
      <c r="K42" s="1062">
        <v>41000000</v>
      </c>
      <c r="L42" s="1064">
        <f t="shared" ref="L42:L43" si="14">K42/J42</f>
        <v>186363.63636363635</v>
      </c>
      <c r="M42" s="1071">
        <v>80</v>
      </c>
      <c r="N42" s="1068">
        <v>14988696</v>
      </c>
      <c r="O42" s="1069">
        <v>187358.7</v>
      </c>
      <c r="P42" s="1066"/>
      <c r="Q42" s="1066">
        <f t="shared" si="4"/>
        <v>995.06363636365859</v>
      </c>
      <c r="R42" s="1066">
        <f t="shared" si="5"/>
        <v>995.06363636365859</v>
      </c>
    </row>
    <row r="43" spans="1:18" ht="49.5" customHeight="1">
      <c r="A43" s="506" t="s">
        <v>420</v>
      </c>
      <c r="B43" s="1055" t="s">
        <v>586</v>
      </c>
      <c r="C43" s="1061" t="s">
        <v>556</v>
      </c>
      <c r="D43" s="1062">
        <v>1750</v>
      </c>
      <c r="E43" s="1062">
        <v>44008578</v>
      </c>
      <c r="F43" s="1062">
        <f t="shared" si="0"/>
        <v>25147.758857142857</v>
      </c>
      <c r="G43" s="1063">
        <v>200</v>
      </c>
      <c r="H43" s="1062">
        <v>5000000</v>
      </c>
      <c r="I43" s="1064">
        <f t="shared" si="13"/>
        <v>25000</v>
      </c>
      <c r="J43" s="1063">
        <v>200</v>
      </c>
      <c r="K43" s="1062">
        <v>5000000</v>
      </c>
      <c r="L43" s="1064">
        <f t="shared" si="14"/>
        <v>25000</v>
      </c>
      <c r="M43" s="1063"/>
      <c r="N43" s="1068"/>
      <c r="O43" s="1069"/>
      <c r="P43" s="1066"/>
      <c r="Q43" s="1066">
        <f t="shared" si="4"/>
        <v>-25000</v>
      </c>
      <c r="R43" s="1066">
        <f t="shared" si="5"/>
        <v>-25000</v>
      </c>
    </row>
    <row r="44" spans="1:18" ht="36.75" hidden="1" customHeight="1">
      <c r="A44" s="506" t="s">
        <v>422</v>
      </c>
      <c r="B44" s="1055" t="s">
        <v>423</v>
      </c>
      <c r="C44" s="1061" t="s">
        <v>556</v>
      </c>
      <c r="D44" s="1062">
        <v>0</v>
      </c>
      <c r="E44" s="1062">
        <v>0</v>
      </c>
      <c r="F44" s="1062">
        <v>0</v>
      </c>
      <c r="G44" s="1063"/>
      <c r="H44" s="1062"/>
      <c r="I44" s="1064" t="e">
        <f t="shared" si="13"/>
        <v>#DIV/0!</v>
      </c>
      <c r="J44" s="1063"/>
      <c r="K44" s="1062"/>
      <c r="L44" s="1064"/>
      <c r="M44" s="1063"/>
      <c r="N44" s="1068"/>
      <c r="O44" s="1069"/>
      <c r="P44" s="1066"/>
      <c r="Q44" s="1066" t="e">
        <f t="shared" si="4"/>
        <v>#DIV/0!</v>
      </c>
      <c r="R44" s="1066">
        <f t="shared" si="5"/>
        <v>0</v>
      </c>
    </row>
    <row r="45" spans="1:18" ht="36.75" customHeight="1">
      <c r="A45" s="506" t="s">
        <v>424</v>
      </c>
      <c r="B45" s="1055" t="s">
        <v>425</v>
      </c>
      <c r="C45" s="1061" t="s">
        <v>556</v>
      </c>
      <c r="D45" s="1062">
        <v>3000</v>
      </c>
      <c r="E45" s="1062">
        <v>84596849</v>
      </c>
      <c r="F45" s="1062">
        <f>E45/D45</f>
        <v>28198.949666666667</v>
      </c>
      <c r="G45" s="1063"/>
      <c r="H45" s="1062"/>
      <c r="I45" s="1064"/>
      <c r="J45" s="1063"/>
      <c r="K45" s="1062"/>
      <c r="L45" s="1064"/>
      <c r="M45" s="1071"/>
      <c r="N45" s="1068"/>
      <c r="O45" s="1069"/>
      <c r="P45" s="1066"/>
      <c r="Q45" s="1066">
        <f t="shared" si="4"/>
        <v>0</v>
      </c>
      <c r="R45" s="1066">
        <f t="shared" si="5"/>
        <v>0</v>
      </c>
    </row>
    <row r="46" spans="1:18" ht="36.75" customHeight="1">
      <c r="A46" s="506" t="s">
        <v>594</v>
      </c>
      <c r="B46" s="1055" t="s">
        <v>595</v>
      </c>
      <c r="C46" s="1061" t="s">
        <v>556</v>
      </c>
      <c r="D46" s="1062"/>
      <c r="E46" s="1062"/>
      <c r="F46" s="1062">
        <v>0</v>
      </c>
      <c r="G46" s="1063">
        <v>500</v>
      </c>
      <c r="H46" s="1062">
        <v>10300000</v>
      </c>
      <c r="I46" s="1064">
        <f t="shared" si="13"/>
        <v>20600</v>
      </c>
      <c r="J46" s="1063">
        <v>250</v>
      </c>
      <c r="K46" s="1062">
        <v>5000000</v>
      </c>
      <c r="L46" s="1064">
        <f t="shared" ref="L46" si="15">K46/J46</f>
        <v>20000</v>
      </c>
      <c r="M46" s="1071">
        <v>250</v>
      </c>
      <c r="N46" s="1068">
        <v>4922682</v>
      </c>
      <c r="O46" s="1069">
        <v>19690.727999999999</v>
      </c>
      <c r="P46" s="1066"/>
      <c r="Q46" s="1066"/>
      <c r="R46" s="1066"/>
    </row>
    <row r="47" spans="1:18" ht="36.75" customHeight="1">
      <c r="A47" s="506" t="s">
        <v>426</v>
      </c>
      <c r="B47" s="1055" t="s">
        <v>587</v>
      </c>
      <c r="C47" s="1061" t="s">
        <v>558</v>
      </c>
      <c r="D47" s="1062">
        <v>15</v>
      </c>
      <c r="E47" s="1062">
        <v>2074706</v>
      </c>
      <c r="F47" s="1062">
        <f t="shared" si="0"/>
        <v>138313.73333333334</v>
      </c>
      <c r="G47" s="1063">
        <v>30</v>
      </c>
      <c r="H47" s="1062">
        <v>4994000</v>
      </c>
      <c r="I47" s="1064">
        <f t="shared" si="13"/>
        <v>166466.66666666666</v>
      </c>
      <c r="J47" s="1063">
        <v>30</v>
      </c>
      <c r="K47" s="1062">
        <v>4994000</v>
      </c>
      <c r="L47" s="1064">
        <v>166466.66666666666</v>
      </c>
      <c r="M47" s="1071">
        <v>2</v>
      </c>
      <c r="N47" s="1068">
        <v>369916</v>
      </c>
      <c r="O47" s="1069">
        <v>184958</v>
      </c>
      <c r="P47" s="1066"/>
      <c r="Q47" s="1066">
        <f t="shared" si="4"/>
        <v>18491.333333333343</v>
      </c>
      <c r="R47" s="1066">
        <f t="shared" si="5"/>
        <v>18491.333333333343</v>
      </c>
    </row>
    <row r="48" spans="1:18" ht="16.5" customHeight="1">
      <c r="A48" s="506" t="s">
        <v>427</v>
      </c>
      <c r="B48" s="1055" t="s">
        <v>428</v>
      </c>
      <c r="C48" s="1061" t="s">
        <v>558</v>
      </c>
      <c r="D48" s="1062">
        <v>0</v>
      </c>
      <c r="E48" s="1062">
        <v>0</v>
      </c>
      <c r="F48" s="1062">
        <v>0</v>
      </c>
      <c r="G48" s="1063">
        <v>1</v>
      </c>
      <c r="H48" s="1062">
        <v>48606000</v>
      </c>
      <c r="I48" s="1064">
        <f>H48/G48</f>
        <v>48606000</v>
      </c>
      <c r="J48" s="1063">
        <v>1</v>
      </c>
      <c r="K48" s="1062">
        <v>48606000</v>
      </c>
      <c r="L48" s="1064">
        <v>48606000</v>
      </c>
      <c r="M48" s="1073"/>
      <c r="N48" s="1068"/>
      <c r="O48" s="1069"/>
      <c r="P48" s="1066"/>
      <c r="Q48" s="1066">
        <f t="shared" si="4"/>
        <v>-48606000</v>
      </c>
      <c r="R48" s="1066">
        <f t="shared" si="5"/>
        <v>-48606000</v>
      </c>
    </row>
    <row r="49" spans="1:18" ht="21.75" customHeight="1">
      <c r="A49" s="506" t="s">
        <v>429</v>
      </c>
      <c r="B49" s="1055" t="s">
        <v>430</v>
      </c>
      <c r="C49" s="1061" t="s">
        <v>559</v>
      </c>
      <c r="D49" s="1062">
        <v>0</v>
      </c>
      <c r="E49" s="1062">
        <v>0</v>
      </c>
      <c r="F49" s="1062">
        <v>0</v>
      </c>
      <c r="G49" s="1063">
        <v>1</v>
      </c>
      <c r="H49" s="1062"/>
      <c r="I49" s="1064"/>
      <c r="J49" s="1063"/>
      <c r="K49" s="1062"/>
      <c r="L49" s="1064"/>
      <c r="M49" s="1073"/>
      <c r="N49" s="1068"/>
      <c r="O49" s="1069"/>
      <c r="P49" s="1066"/>
      <c r="Q49" s="1066">
        <f t="shared" si="4"/>
        <v>0</v>
      </c>
      <c r="R49" s="1066">
        <f t="shared" si="5"/>
        <v>0</v>
      </c>
    </row>
    <row r="50" spans="1:18" ht="21.75" customHeight="1">
      <c r="A50" s="506" t="s">
        <v>431</v>
      </c>
      <c r="B50" s="1055" t="s">
        <v>432</v>
      </c>
      <c r="C50" s="1061" t="s">
        <v>560</v>
      </c>
      <c r="D50" s="1062">
        <v>1</v>
      </c>
      <c r="E50" s="1062">
        <v>9696000</v>
      </c>
      <c r="F50" s="1062">
        <f t="shared" si="0"/>
        <v>9696000</v>
      </c>
      <c r="G50" s="1063">
        <v>1</v>
      </c>
      <c r="H50" s="1062"/>
      <c r="I50" s="1064"/>
      <c r="J50" s="1063"/>
      <c r="K50" s="1062"/>
      <c r="L50" s="1064"/>
      <c r="M50" s="1071"/>
      <c r="N50" s="1068"/>
      <c r="O50" s="1069"/>
      <c r="P50" s="1066"/>
      <c r="Q50" s="1066">
        <f t="shared" si="4"/>
        <v>0</v>
      </c>
      <c r="R50" s="1066">
        <f t="shared" si="5"/>
        <v>0</v>
      </c>
    </row>
    <row r="51" spans="1:18" ht="21.75" customHeight="1">
      <c r="A51" s="506" t="s">
        <v>433</v>
      </c>
      <c r="B51" s="1055" t="s">
        <v>434</v>
      </c>
      <c r="C51" s="1061" t="s">
        <v>588</v>
      </c>
      <c r="D51" s="1062">
        <v>0</v>
      </c>
      <c r="E51" s="1062">
        <v>0</v>
      </c>
      <c r="F51" s="1062">
        <v>0</v>
      </c>
      <c r="G51" s="1063">
        <v>1</v>
      </c>
      <c r="H51" s="1062">
        <v>206187000</v>
      </c>
      <c r="I51" s="1064">
        <f t="shared" ref="I51" si="16">H51/G51</f>
        <v>206187000</v>
      </c>
      <c r="J51" s="1063"/>
      <c r="K51" s="1062"/>
      <c r="L51" s="1064"/>
      <c r="M51" s="1063"/>
      <c r="N51" s="1068"/>
      <c r="O51" s="1069"/>
      <c r="P51" s="1066"/>
      <c r="Q51" s="1066">
        <f t="shared" si="4"/>
        <v>-206187000</v>
      </c>
      <c r="R51" s="1066">
        <f t="shared" si="5"/>
        <v>0</v>
      </c>
    </row>
    <row r="52" spans="1:18" ht="21.75" customHeight="1">
      <c r="A52" s="506" t="s">
        <v>435</v>
      </c>
      <c r="B52" s="1055" t="s">
        <v>436</v>
      </c>
      <c r="C52" s="1061" t="s">
        <v>558</v>
      </c>
      <c r="D52" s="1062">
        <v>1</v>
      </c>
      <c r="E52" s="1062">
        <v>988800</v>
      </c>
      <c r="F52" s="1062">
        <f t="shared" si="0"/>
        <v>988800</v>
      </c>
      <c r="G52" s="1063">
        <v>1</v>
      </c>
      <c r="H52" s="1062"/>
      <c r="I52" s="1064"/>
      <c r="J52" s="1063"/>
      <c r="K52" s="1062"/>
      <c r="L52" s="1064"/>
      <c r="M52" s="1063"/>
      <c r="N52" s="1068"/>
      <c r="O52" s="1069"/>
      <c r="P52" s="1066"/>
      <c r="Q52" s="1066">
        <f t="shared" si="4"/>
        <v>0</v>
      </c>
      <c r="R52" s="1066">
        <f t="shared" si="5"/>
        <v>0</v>
      </c>
    </row>
    <row r="53" spans="1:18" ht="21.75" customHeight="1">
      <c r="A53" s="506" t="s">
        <v>437</v>
      </c>
      <c r="B53" s="1055" t="s">
        <v>438</v>
      </c>
      <c r="C53" s="1061" t="s">
        <v>558</v>
      </c>
      <c r="D53" s="1062">
        <v>0</v>
      </c>
      <c r="E53" s="1062">
        <v>0</v>
      </c>
      <c r="F53" s="1062">
        <v>0</v>
      </c>
      <c r="G53" s="1063">
        <v>0</v>
      </c>
      <c r="H53" s="1062"/>
      <c r="I53" s="1064"/>
      <c r="J53" s="1063"/>
      <c r="K53" s="1062"/>
      <c r="L53" s="1064"/>
      <c r="M53" s="1063"/>
      <c r="N53" s="1068"/>
      <c r="O53" s="1069"/>
      <c r="P53" s="1068"/>
      <c r="Q53" s="1065">
        <v>0</v>
      </c>
      <c r="R53" s="1065">
        <v>0</v>
      </c>
    </row>
    <row r="54" spans="1:18" ht="21.75" customHeight="1">
      <c r="A54" s="506" t="s">
        <v>439</v>
      </c>
      <c r="B54" s="1055" t="s">
        <v>589</v>
      </c>
      <c r="C54" s="1061" t="s">
        <v>550</v>
      </c>
      <c r="D54" s="1062">
        <v>0</v>
      </c>
      <c r="E54" s="1062">
        <v>0</v>
      </c>
      <c r="F54" s="1062">
        <v>0</v>
      </c>
      <c r="G54" s="1063">
        <v>0</v>
      </c>
      <c r="H54" s="1062"/>
      <c r="I54" s="1064"/>
      <c r="J54" s="1063"/>
      <c r="K54" s="1062"/>
      <c r="L54" s="1064"/>
      <c r="M54" s="1063"/>
      <c r="N54" s="1068"/>
      <c r="O54" s="1069"/>
      <c r="P54" s="1068"/>
      <c r="Q54" s="1065">
        <v>0</v>
      </c>
      <c r="R54" s="1065">
        <v>0</v>
      </c>
    </row>
    <row r="55" spans="1:18" ht="51" customHeight="1">
      <c r="A55" s="506" t="s">
        <v>440</v>
      </c>
      <c r="B55" s="1055" t="s">
        <v>441</v>
      </c>
      <c r="C55" s="1061" t="s">
        <v>550</v>
      </c>
      <c r="D55" s="1062">
        <v>0</v>
      </c>
      <c r="E55" s="1062">
        <v>0</v>
      </c>
      <c r="F55" s="1062">
        <v>0</v>
      </c>
      <c r="G55" s="1063">
        <v>0</v>
      </c>
      <c r="H55" s="1062"/>
      <c r="I55" s="1064"/>
      <c r="J55" s="1063"/>
      <c r="K55" s="1062"/>
      <c r="L55" s="1064"/>
      <c r="M55" s="1063"/>
      <c r="N55" s="1068"/>
      <c r="O55" s="1069"/>
      <c r="P55" s="1068"/>
      <c r="Q55" s="1065">
        <v>0</v>
      </c>
      <c r="R55" s="1065">
        <v>0</v>
      </c>
    </row>
    <row r="56" spans="1:18">
      <c r="A56" s="506" t="s">
        <v>442</v>
      </c>
      <c r="B56" s="1055" t="s">
        <v>443</v>
      </c>
      <c r="C56" s="1061" t="s">
        <v>558</v>
      </c>
      <c r="D56" s="1062">
        <v>10</v>
      </c>
      <c r="E56" s="1062">
        <v>765600</v>
      </c>
      <c r="F56" s="1062">
        <f t="shared" si="0"/>
        <v>76560</v>
      </c>
      <c r="G56" s="1063">
        <v>0</v>
      </c>
      <c r="H56" s="1062"/>
      <c r="I56" s="1064"/>
      <c r="J56" s="1063"/>
      <c r="K56" s="1062"/>
      <c r="L56" s="1064"/>
      <c r="M56" s="1063"/>
      <c r="N56" s="1068"/>
      <c r="O56" s="1069"/>
      <c r="P56" s="1066"/>
      <c r="Q56" s="1066">
        <f t="shared" si="4"/>
        <v>0</v>
      </c>
      <c r="R56" s="1066">
        <f t="shared" si="5"/>
        <v>0</v>
      </c>
    </row>
    <row r="57" spans="1:18" ht="72.75" customHeight="1">
      <c r="A57" s="506" t="s">
        <v>444</v>
      </c>
      <c r="B57" s="1055" t="s">
        <v>590</v>
      </c>
      <c r="C57" s="1061" t="s">
        <v>558</v>
      </c>
      <c r="D57" s="1062">
        <v>0</v>
      </c>
      <c r="E57" s="1062">
        <v>0</v>
      </c>
      <c r="F57" s="1062">
        <v>0</v>
      </c>
      <c r="G57" s="1063">
        <v>1200</v>
      </c>
      <c r="H57" s="1062">
        <v>150000000</v>
      </c>
      <c r="I57" s="1064">
        <f>H57/G57</f>
        <v>125000</v>
      </c>
      <c r="J57" s="1063">
        <v>1200</v>
      </c>
      <c r="K57" s="1062">
        <v>150000000</v>
      </c>
      <c r="L57" s="1064">
        <v>125000</v>
      </c>
      <c r="M57" s="1063"/>
      <c r="N57" s="1068"/>
      <c r="O57" s="1069"/>
      <c r="P57" s="1068"/>
      <c r="Q57" s="1065">
        <v>0</v>
      </c>
      <c r="R57" s="1065">
        <v>0</v>
      </c>
    </row>
    <row r="58" spans="1:18" ht="18.75" customHeight="1">
      <c r="A58" s="506" t="s">
        <v>471</v>
      </c>
      <c r="B58" s="1055" t="s">
        <v>472</v>
      </c>
      <c r="C58" s="1061" t="s">
        <v>558</v>
      </c>
      <c r="D58" s="1062"/>
      <c r="E58" s="1062"/>
      <c r="F58" s="1062">
        <v>0</v>
      </c>
      <c r="G58" s="1063">
        <v>50</v>
      </c>
      <c r="H58" s="1062">
        <v>7100000</v>
      </c>
      <c r="I58" s="1064">
        <f>H58/G58</f>
        <v>142000</v>
      </c>
      <c r="J58" s="1063">
        <v>50</v>
      </c>
      <c r="K58" s="1070">
        <v>7100000</v>
      </c>
      <c r="L58" s="1074">
        <v>142000</v>
      </c>
      <c r="M58" s="1063"/>
      <c r="N58" s="1068"/>
      <c r="O58" s="1069"/>
      <c r="P58" s="1068"/>
      <c r="Q58" s="1065">
        <v>0</v>
      </c>
      <c r="R58" s="1065">
        <v>0</v>
      </c>
    </row>
    <row r="59" spans="1:18" ht="40.5" customHeight="1">
      <c r="A59" s="506" t="s">
        <v>461</v>
      </c>
      <c r="B59" s="1055" t="s">
        <v>716</v>
      </c>
      <c r="C59" s="1061" t="s">
        <v>550</v>
      </c>
      <c r="D59" s="1062">
        <v>0</v>
      </c>
      <c r="E59" s="1062">
        <v>0</v>
      </c>
      <c r="F59" s="1062">
        <v>0</v>
      </c>
      <c r="G59" s="1063">
        <v>2</v>
      </c>
      <c r="H59" s="1062">
        <v>59000000</v>
      </c>
      <c r="I59" s="1064">
        <f>H59/G59</f>
        <v>29500000</v>
      </c>
      <c r="J59" s="1063">
        <v>2</v>
      </c>
      <c r="K59" s="1062">
        <v>59000000</v>
      </c>
      <c r="L59" s="1064">
        <v>29500000</v>
      </c>
      <c r="M59" s="1063"/>
      <c r="N59" s="1068"/>
      <c r="O59" s="1069"/>
      <c r="P59" s="1068"/>
      <c r="Q59" s="1065">
        <v>0</v>
      </c>
      <c r="R59" s="1065">
        <v>0</v>
      </c>
    </row>
    <row r="60" spans="1:18" ht="40.5" customHeight="1">
      <c r="A60" s="506" t="s">
        <v>447</v>
      </c>
      <c r="B60" s="1055" t="s">
        <v>448</v>
      </c>
      <c r="C60" s="1061" t="s">
        <v>558</v>
      </c>
      <c r="D60" s="1062">
        <v>30</v>
      </c>
      <c r="E60" s="1062">
        <v>672384</v>
      </c>
      <c r="F60" s="1062">
        <f t="shared" si="0"/>
        <v>22412.799999999999</v>
      </c>
      <c r="G60" s="1063"/>
      <c r="H60" s="1062"/>
      <c r="I60" s="1064"/>
      <c r="J60" s="1063"/>
      <c r="K60" s="1062"/>
      <c r="L60" s="1064"/>
      <c r="M60" s="1063"/>
      <c r="N60" s="1068"/>
      <c r="O60" s="1069"/>
      <c r="P60" s="1066"/>
      <c r="Q60" s="1066">
        <f t="shared" si="4"/>
        <v>0</v>
      </c>
      <c r="R60" s="1066">
        <f t="shared" si="5"/>
        <v>0</v>
      </c>
    </row>
    <row r="61" spans="1:18" ht="40.5" customHeight="1">
      <c r="A61" s="506" t="s">
        <v>449</v>
      </c>
      <c r="B61" s="1055" t="s">
        <v>450</v>
      </c>
      <c r="C61" s="1061" t="s">
        <v>558</v>
      </c>
      <c r="D61" s="1062">
        <v>0</v>
      </c>
      <c r="E61" s="1062">
        <v>0</v>
      </c>
      <c r="F61" s="1062">
        <v>0</v>
      </c>
      <c r="G61" s="1063"/>
      <c r="H61" s="1062"/>
      <c r="I61" s="1064"/>
      <c r="J61" s="1063"/>
      <c r="K61" s="1062"/>
      <c r="L61" s="1064"/>
      <c r="M61" s="1063"/>
      <c r="N61" s="1068"/>
      <c r="O61" s="1069"/>
      <c r="P61" s="1068"/>
      <c r="Q61" s="1065">
        <v>0</v>
      </c>
      <c r="R61" s="1065">
        <v>0</v>
      </c>
    </row>
    <row r="62" spans="1:18" ht="40.5" customHeight="1">
      <c r="A62" s="506" t="s">
        <v>451</v>
      </c>
      <c r="B62" s="1055" t="s">
        <v>452</v>
      </c>
      <c r="C62" s="1061" t="s">
        <v>558</v>
      </c>
      <c r="D62" s="1062">
        <v>0</v>
      </c>
      <c r="E62" s="1062">
        <v>0</v>
      </c>
      <c r="F62" s="1062">
        <v>0</v>
      </c>
      <c r="G62" s="1063">
        <v>60</v>
      </c>
      <c r="H62" s="1062">
        <v>7813000</v>
      </c>
      <c r="I62" s="1064">
        <f>H62/G62</f>
        <v>130216.66666666667</v>
      </c>
      <c r="J62" s="1063">
        <v>60</v>
      </c>
      <c r="K62" s="1062">
        <v>7813000</v>
      </c>
      <c r="L62" s="1064">
        <v>130216.66666666667</v>
      </c>
      <c r="M62" s="1063"/>
      <c r="N62" s="1068"/>
      <c r="O62" s="1069"/>
      <c r="P62" s="1068"/>
      <c r="Q62" s="1065">
        <v>0</v>
      </c>
      <c r="R62" s="1065">
        <v>0</v>
      </c>
    </row>
    <row r="63" spans="1:18" ht="40.5" customHeight="1">
      <c r="A63" s="506" t="s">
        <v>456</v>
      </c>
      <c r="B63" s="1055" t="s">
        <v>591</v>
      </c>
      <c r="C63" s="1061" t="s">
        <v>556</v>
      </c>
      <c r="D63" s="1062">
        <v>800</v>
      </c>
      <c r="E63" s="1062">
        <v>30706600</v>
      </c>
      <c r="F63" s="1062">
        <f t="shared" si="0"/>
        <v>38383.25</v>
      </c>
      <c r="G63" s="1063">
        <v>150</v>
      </c>
      <c r="H63" s="1062"/>
      <c r="I63" s="1064"/>
      <c r="J63" s="1063"/>
      <c r="K63" s="1062"/>
      <c r="L63" s="1064"/>
      <c r="M63" s="1063"/>
      <c r="N63" s="1068"/>
      <c r="O63" s="1069"/>
      <c r="P63" s="1068"/>
      <c r="Q63" s="1065">
        <v>0</v>
      </c>
      <c r="R63" s="1065">
        <v>0</v>
      </c>
    </row>
    <row r="64" spans="1:18" ht="39.75" customHeight="1">
      <c r="A64" s="506" t="s">
        <v>457</v>
      </c>
      <c r="B64" s="1055" t="s">
        <v>458</v>
      </c>
      <c r="C64" s="1061" t="s">
        <v>558</v>
      </c>
      <c r="D64" s="1062">
        <v>70</v>
      </c>
      <c r="E64" s="1062">
        <v>7153200</v>
      </c>
      <c r="F64" s="1062">
        <f t="shared" si="0"/>
        <v>102188.57142857143</v>
      </c>
      <c r="G64" s="1063">
        <v>50</v>
      </c>
      <c r="H64" s="1062"/>
      <c r="I64" s="1064"/>
      <c r="J64" s="1063"/>
      <c r="K64" s="1062"/>
      <c r="L64" s="1064"/>
      <c r="M64" s="1063"/>
      <c r="N64" s="1068"/>
      <c r="O64" s="1069"/>
      <c r="P64" s="1066"/>
      <c r="Q64" s="1066">
        <f t="shared" si="4"/>
        <v>0</v>
      </c>
      <c r="R64" s="1066">
        <f t="shared" si="5"/>
        <v>0</v>
      </c>
    </row>
    <row r="65" spans="1:18" ht="39.75" customHeight="1">
      <c r="A65" s="506" t="s">
        <v>459</v>
      </c>
      <c r="B65" s="1055" t="s">
        <v>592</v>
      </c>
      <c r="C65" s="1061" t="s">
        <v>556</v>
      </c>
      <c r="D65" s="1062">
        <v>10000</v>
      </c>
      <c r="E65" s="1062">
        <v>131392262</v>
      </c>
      <c r="F65" s="1062">
        <f t="shared" si="0"/>
        <v>13139.226199999999</v>
      </c>
      <c r="G65" s="1063">
        <v>265</v>
      </c>
      <c r="H65" s="1062">
        <v>5300000</v>
      </c>
      <c r="I65" s="1064">
        <f>H65/G65</f>
        <v>20000</v>
      </c>
      <c r="J65" s="1063">
        <v>265</v>
      </c>
      <c r="K65" s="1062">
        <v>5300000</v>
      </c>
      <c r="L65" s="1064">
        <v>20000</v>
      </c>
      <c r="M65" s="1063"/>
      <c r="N65" s="1068"/>
      <c r="O65" s="1069"/>
      <c r="P65" s="1066"/>
      <c r="Q65" s="1066">
        <f t="shared" si="4"/>
        <v>-20000</v>
      </c>
      <c r="R65" s="1066">
        <f t="shared" si="5"/>
        <v>-20000</v>
      </c>
    </row>
    <row r="66" spans="1:18" ht="39.75" customHeight="1">
      <c r="A66" s="506" t="s">
        <v>717</v>
      </c>
      <c r="B66" s="1055" t="s">
        <v>718</v>
      </c>
      <c r="C66" s="1061" t="s">
        <v>556</v>
      </c>
      <c r="D66" s="1062"/>
      <c r="E66" s="1062"/>
      <c r="F66" s="1062"/>
      <c r="G66" s="1063">
        <v>1000</v>
      </c>
      <c r="H66" s="1062">
        <v>20000000</v>
      </c>
      <c r="I66" s="1064">
        <f>H66/G66</f>
        <v>20000</v>
      </c>
      <c r="J66" s="1063"/>
      <c r="K66" s="1062"/>
      <c r="L66" s="1064"/>
      <c r="M66" s="1063"/>
      <c r="N66" s="1068"/>
      <c r="O66" s="1069"/>
      <c r="P66" s="1066"/>
      <c r="Q66" s="1066"/>
      <c r="R66" s="1066"/>
    </row>
    <row r="67" spans="1:18" ht="39.75" customHeight="1">
      <c r="A67" s="506" t="s">
        <v>460</v>
      </c>
      <c r="B67" s="1055" t="s">
        <v>593</v>
      </c>
      <c r="C67" s="1061" t="s">
        <v>558</v>
      </c>
      <c r="D67" s="1062">
        <v>0</v>
      </c>
      <c r="E67" s="1062">
        <v>0</v>
      </c>
      <c r="F67" s="1062">
        <v>0</v>
      </c>
      <c r="G67" s="1063">
        <v>1</v>
      </c>
      <c r="H67" s="1062"/>
      <c r="I67" s="1064"/>
      <c r="J67" s="1063"/>
      <c r="K67" s="1062"/>
      <c r="L67" s="1064"/>
      <c r="M67" s="1063"/>
      <c r="N67" s="1068"/>
      <c r="O67" s="1069"/>
      <c r="P67" s="1068"/>
      <c r="Q67" s="1065">
        <v>0</v>
      </c>
      <c r="R67" s="1065">
        <v>0</v>
      </c>
    </row>
    <row r="68" spans="1:18" ht="39.75" customHeight="1">
      <c r="A68" s="506" t="s">
        <v>463</v>
      </c>
      <c r="B68" s="1055" t="s">
        <v>464</v>
      </c>
      <c r="C68" s="1061" t="s">
        <v>556</v>
      </c>
      <c r="D68" s="1062"/>
      <c r="E68" s="1062"/>
      <c r="F68" s="1062">
        <v>0</v>
      </c>
      <c r="G68" s="1063">
        <v>1</v>
      </c>
      <c r="H68" s="1062"/>
      <c r="I68" s="1064"/>
      <c r="J68" s="1063"/>
      <c r="K68" s="1062"/>
      <c r="L68" s="1064"/>
      <c r="M68" s="1063"/>
      <c r="N68" s="1068"/>
      <c r="O68" s="1069"/>
      <c r="P68" s="1068"/>
      <c r="Q68" s="1065">
        <v>0</v>
      </c>
      <c r="R68" s="1065">
        <v>0</v>
      </c>
    </row>
    <row r="69" spans="1:18" ht="36.75" customHeight="1">
      <c r="A69" s="506" t="s">
        <v>465</v>
      </c>
      <c r="B69" s="1055" t="s">
        <v>466</v>
      </c>
      <c r="C69" s="1061" t="s">
        <v>556</v>
      </c>
      <c r="D69" s="1062">
        <v>1200</v>
      </c>
      <c r="E69" s="1062">
        <v>19947637</v>
      </c>
      <c r="F69" s="1062">
        <f t="shared" si="0"/>
        <v>16623.030833333334</v>
      </c>
      <c r="G69" s="1063">
        <v>1200</v>
      </c>
      <c r="H69" s="1062"/>
      <c r="I69" s="1064"/>
      <c r="J69" s="1063"/>
      <c r="K69" s="1062"/>
      <c r="L69" s="1064"/>
      <c r="M69" s="1067"/>
      <c r="N69" s="1068"/>
      <c r="O69" s="1069"/>
      <c r="P69" s="1066"/>
      <c r="Q69" s="1066">
        <f t="shared" si="4"/>
        <v>0</v>
      </c>
      <c r="R69" s="1066">
        <f t="shared" si="5"/>
        <v>0</v>
      </c>
    </row>
    <row r="70" spans="1:18" ht="18.75" customHeight="1">
      <c r="A70" s="506" t="s">
        <v>467</v>
      </c>
      <c r="B70" s="1055" t="s">
        <v>468</v>
      </c>
      <c r="C70" s="1061" t="s">
        <v>558</v>
      </c>
      <c r="D70" s="1062">
        <v>638</v>
      </c>
      <c r="E70" s="1062">
        <v>21392400</v>
      </c>
      <c r="F70" s="1062">
        <f t="shared" si="0"/>
        <v>33530.40752351097</v>
      </c>
      <c r="G70" s="1063">
        <v>2000</v>
      </c>
      <c r="H70" s="1062"/>
      <c r="I70" s="1064"/>
      <c r="J70" s="1063"/>
      <c r="K70" s="1062"/>
      <c r="L70" s="1064"/>
      <c r="M70" s="1063"/>
      <c r="N70" s="1068"/>
      <c r="O70" s="1069"/>
      <c r="P70" s="1068"/>
      <c r="Q70" s="1065">
        <v>0</v>
      </c>
      <c r="R70" s="1065">
        <v>0</v>
      </c>
    </row>
    <row r="71" spans="1:18" ht="18.75" customHeight="1">
      <c r="A71" s="506" t="s">
        <v>469</v>
      </c>
      <c r="B71" s="1055" t="s">
        <v>470</v>
      </c>
      <c r="C71" s="1061" t="s">
        <v>558</v>
      </c>
      <c r="D71" s="1062"/>
      <c r="E71" s="1062"/>
      <c r="F71" s="1062">
        <v>0</v>
      </c>
      <c r="G71" s="1063">
        <v>120</v>
      </c>
      <c r="H71" s="1062">
        <v>30000000</v>
      </c>
      <c r="I71" s="1064">
        <f>H71/G71</f>
        <v>250000</v>
      </c>
      <c r="J71" s="1063">
        <v>120</v>
      </c>
      <c r="K71" s="1062">
        <v>30000000</v>
      </c>
      <c r="L71" s="1064">
        <v>250000</v>
      </c>
      <c r="M71" s="1063"/>
      <c r="N71" s="1068"/>
      <c r="O71" s="1069"/>
      <c r="P71" s="1068"/>
      <c r="Q71" s="1065">
        <v>0</v>
      </c>
      <c r="R71" s="1065">
        <v>0</v>
      </c>
    </row>
    <row r="72" spans="1:18" ht="18.75" customHeight="1">
      <c r="A72" s="506" t="s">
        <v>469</v>
      </c>
      <c r="B72" s="1055" t="s">
        <v>473</v>
      </c>
      <c r="C72" s="1061" t="s">
        <v>558</v>
      </c>
      <c r="D72" s="1062">
        <v>556</v>
      </c>
      <c r="E72" s="1062">
        <v>126768609</v>
      </c>
      <c r="F72" s="1062">
        <f t="shared" si="0"/>
        <v>228001.095323741</v>
      </c>
      <c r="G72" s="1063">
        <v>60</v>
      </c>
      <c r="H72" s="1070"/>
      <c r="I72" s="1064"/>
      <c r="J72" s="1063"/>
      <c r="K72" s="1062"/>
      <c r="L72" s="1064"/>
      <c r="M72" s="1071"/>
      <c r="N72" s="1068"/>
      <c r="O72" s="1069"/>
      <c r="P72" s="1066"/>
      <c r="Q72" s="1066">
        <f t="shared" si="4"/>
        <v>0</v>
      </c>
      <c r="R72" s="1066">
        <f t="shared" si="5"/>
        <v>0</v>
      </c>
    </row>
    <row r="73" spans="1:18" ht="18.75" customHeight="1">
      <c r="A73" s="506" t="s">
        <v>219</v>
      </c>
      <c r="B73" s="1055" t="s">
        <v>220</v>
      </c>
      <c r="C73" s="1061" t="s">
        <v>596</v>
      </c>
      <c r="D73" s="1062">
        <v>3</v>
      </c>
      <c r="E73" s="1062">
        <v>7294687</v>
      </c>
      <c r="F73" s="1062">
        <f t="shared" si="0"/>
        <v>2431562.3333333335</v>
      </c>
      <c r="G73" s="1063">
        <v>2</v>
      </c>
      <c r="H73" s="1062">
        <v>4227348</v>
      </c>
      <c r="I73" s="1064">
        <f>H73/G73</f>
        <v>2113674</v>
      </c>
      <c r="J73" s="1063"/>
      <c r="K73" s="1062"/>
      <c r="L73" s="1064"/>
      <c r="M73" s="1075"/>
      <c r="N73" s="1068"/>
      <c r="O73" s="1069"/>
      <c r="P73" s="1066"/>
      <c r="Q73" s="1066">
        <f t="shared" si="4"/>
        <v>-2113674</v>
      </c>
      <c r="R73" s="1066">
        <f t="shared" si="5"/>
        <v>0</v>
      </c>
    </row>
    <row r="74" spans="1:18" ht="36.75" customHeight="1">
      <c r="A74" s="506" t="s">
        <v>453</v>
      </c>
      <c r="B74" s="1055" t="s">
        <v>454</v>
      </c>
      <c r="C74" s="1061" t="s">
        <v>558</v>
      </c>
      <c r="D74" s="1062">
        <v>0</v>
      </c>
      <c r="E74" s="1062">
        <v>0</v>
      </c>
      <c r="F74" s="1062">
        <v>0</v>
      </c>
      <c r="G74" s="1063"/>
      <c r="H74" s="1062"/>
      <c r="I74" s="1064"/>
      <c r="J74" s="1063"/>
      <c r="K74" s="1062"/>
      <c r="L74" s="1064"/>
      <c r="M74" s="1075"/>
      <c r="N74" s="1068"/>
      <c r="O74" s="1069"/>
      <c r="P74" s="1068"/>
      <c r="Q74" s="1065">
        <v>0</v>
      </c>
      <c r="R74" s="1065">
        <v>0</v>
      </c>
    </row>
    <row r="75" spans="1:18" ht="19.5" customHeight="1">
      <c r="A75" s="506" t="s">
        <v>453</v>
      </c>
      <c r="B75" s="1055" t="s">
        <v>597</v>
      </c>
      <c r="C75" s="1061" t="s">
        <v>558</v>
      </c>
      <c r="D75" s="1062">
        <v>19</v>
      </c>
      <c r="E75" s="1062">
        <v>356400</v>
      </c>
      <c r="F75" s="1062">
        <f t="shared" ref="F75:F83" si="17">E75/D75</f>
        <v>18757.894736842107</v>
      </c>
      <c r="G75" s="1063"/>
      <c r="H75" s="1062"/>
      <c r="I75" s="1064"/>
      <c r="J75" s="1063"/>
      <c r="K75" s="1062"/>
      <c r="L75" s="1064"/>
      <c r="M75" s="1075"/>
      <c r="N75" s="1068"/>
      <c r="O75" s="1069"/>
      <c r="P75" s="1066"/>
      <c r="Q75" s="1066">
        <f t="shared" ref="Q75" si="18">O75-I75</f>
        <v>0</v>
      </c>
      <c r="R75" s="1066">
        <f t="shared" ref="R75" si="19">O75-L75</f>
        <v>0</v>
      </c>
    </row>
    <row r="76" spans="1:18" ht="19.5" customHeight="1">
      <c r="A76" s="506" t="s">
        <v>453</v>
      </c>
      <c r="B76" s="1055" t="s">
        <v>455</v>
      </c>
      <c r="C76" s="1061" t="s">
        <v>558</v>
      </c>
      <c r="D76" s="1062">
        <v>0</v>
      </c>
      <c r="E76" s="1062">
        <v>0</v>
      </c>
      <c r="F76" s="1062">
        <v>0</v>
      </c>
      <c r="G76" s="1063"/>
      <c r="H76" s="1062"/>
      <c r="I76" s="1064"/>
      <c r="J76" s="1063"/>
      <c r="K76" s="1062"/>
      <c r="L76" s="1064"/>
      <c r="M76" s="1075"/>
      <c r="N76" s="1068"/>
      <c r="O76" s="1069"/>
      <c r="P76" s="1068"/>
      <c r="Q76" s="1065">
        <v>0</v>
      </c>
      <c r="R76" s="1065">
        <v>0</v>
      </c>
    </row>
    <row r="77" spans="1:18" s="1089" customFormat="1" ht="19.5" customHeight="1">
      <c r="A77" s="1081" t="s">
        <v>719</v>
      </c>
      <c r="B77" s="1082" t="s">
        <v>720</v>
      </c>
      <c r="C77" s="1083" t="s">
        <v>721</v>
      </c>
      <c r="D77" s="1084">
        <v>0</v>
      </c>
      <c r="E77" s="1084">
        <v>0</v>
      </c>
      <c r="F77" s="1084">
        <v>0</v>
      </c>
      <c r="G77" s="1085"/>
      <c r="H77" s="1084">
        <v>109400000</v>
      </c>
      <c r="I77" s="1086"/>
      <c r="J77" s="1085"/>
      <c r="K77" s="1084"/>
      <c r="L77" s="1086"/>
      <c r="M77" s="1087"/>
      <c r="N77" s="1088"/>
      <c r="O77" s="1086"/>
      <c r="P77" s="1088"/>
      <c r="Q77" s="1088">
        <v>0</v>
      </c>
      <c r="R77" s="1088">
        <v>0</v>
      </c>
    </row>
    <row r="78" spans="1:18" s="1089" customFormat="1" ht="19.5" customHeight="1">
      <c r="A78" s="1081" t="s">
        <v>719</v>
      </c>
      <c r="B78" s="1082" t="s">
        <v>722</v>
      </c>
      <c r="C78" s="1083" t="s">
        <v>721</v>
      </c>
      <c r="D78" s="1084">
        <v>0</v>
      </c>
      <c r="E78" s="1084">
        <v>0</v>
      </c>
      <c r="F78" s="1084">
        <v>0</v>
      </c>
      <c r="G78" s="1085"/>
      <c r="H78" s="1084">
        <v>120200000</v>
      </c>
      <c r="I78" s="1084"/>
      <c r="J78" s="1085"/>
      <c r="K78" s="1084"/>
      <c r="L78" s="1086"/>
      <c r="M78" s="1087"/>
      <c r="N78" s="1088"/>
      <c r="O78" s="1086"/>
      <c r="P78" s="1088"/>
      <c r="Q78" s="1088">
        <v>0</v>
      </c>
      <c r="R78" s="1088">
        <v>0</v>
      </c>
    </row>
    <row r="79" spans="1:18" ht="30" customHeight="1">
      <c r="A79" s="506" t="s">
        <v>719</v>
      </c>
      <c r="B79" s="1055" t="s">
        <v>723</v>
      </c>
      <c r="C79" s="1061" t="s">
        <v>558</v>
      </c>
      <c r="D79" s="1062">
        <v>0</v>
      </c>
      <c r="E79" s="1062">
        <v>0</v>
      </c>
      <c r="F79" s="1062">
        <v>0</v>
      </c>
      <c r="G79" s="1063">
        <v>60</v>
      </c>
      <c r="H79" s="1062">
        <v>4900000</v>
      </c>
      <c r="I79" s="1064">
        <f>H79/G79</f>
        <v>81666.666666666672</v>
      </c>
      <c r="J79" s="1063">
        <v>60</v>
      </c>
      <c r="K79" s="1062">
        <v>4900000</v>
      </c>
      <c r="L79" s="1064">
        <f>K79/J79</f>
        <v>81666.666666666672</v>
      </c>
      <c r="M79" s="1075"/>
      <c r="N79" s="1065"/>
      <c r="O79" s="1064"/>
      <c r="P79" s="1065">
        <v>0</v>
      </c>
      <c r="Q79" s="1065">
        <v>0</v>
      </c>
      <c r="R79" s="1065">
        <v>0</v>
      </c>
    </row>
    <row r="80" spans="1:18" ht="30" customHeight="1">
      <c r="A80" s="506" t="s">
        <v>529</v>
      </c>
      <c r="B80" s="1055" t="s">
        <v>68</v>
      </c>
      <c r="C80" s="1061"/>
      <c r="D80" s="1062">
        <v>0</v>
      </c>
      <c r="E80" s="1062">
        <f>SUM(E11:E79)</f>
        <v>9629528719</v>
      </c>
      <c r="F80" s="1062">
        <f>SUM(F11:F79)</f>
        <v>77078366.559552982</v>
      </c>
      <c r="G80" s="1062">
        <f>SUM(G11:G79)</f>
        <v>13495</v>
      </c>
      <c r="H80" s="1062">
        <f>SUM(H11:H79)</f>
        <v>11156536000</v>
      </c>
      <c r="I80" s="1062"/>
      <c r="J80" s="1063"/>
      <c r="K80" s="1062">
        <f>SUM(K11:K79)</f>
        <v>3258203000</v>
      </c>
      <c r="L80" s="1062">
        <f>SUM(L11:L79)</f>
        <v>123729196.09534818</v>
      </c>
      <c r="M80" s="1062">
        <f>SUM(M11:M79)</f>
        <v>2308</v>
      </c>
      <c r="N80" s="1062">
        <f>SUM(N11:N79)</f>
        <v>2503421559.2799997</v>
      </c>
      <c r="O80" s="1062">
        <f>SUM(O11:O79)</f>
        <v>35150181.237006053</v>
      </c>
      <c r="P80" s="1066"/>
      <c r="Q80" s="1066"/>
      <c r="R80" s="1066"/>
    </row>
    <row r="81" spans="1:18" ht="20.25" customHeight="1">
      <c r="A81" s="1540" t="s">
        <v>539</v>
      </c>
      <c r="B81" s="1541"/>
      <c r="C81" s="1059"/>
      <c r="D81" s="1059"/>
      <c r="E81" s="1059"/>
      <c r="F81" s="1062"/>
      <c r="G81" s="1059"/>
      <c r="H81" s="1059"/>
      <c r="I81" s="1064"/>
      <c r="J81" s="1059"/>
      <c r="K81" s="1076"/>
      <c r="L81" s="1064"/>
      <c r="M81" s="1059"/>
      <c r="N81" s="1060"/>
      <c r="O81" s="1064"/>
      <c r="P81" s="1066"/>
      <c r="Q81" s="1066"/>
      <c r="R81" s="1066"/>
    </row>
    <row r="82" spans="1:18" ht="20.25" customHeight="1">
      <c r="A82" s="507" t="s">
        <v>253</v>
      </c>
      <c r="B82" s="1056" t="s">
        <v>254</v>
      </c>
      <c r="C82" s="1077"/>
      <c r="D82" s="1078">
        <v>10</v>
      </c>
      <c r="E82" s="1079">
        <v>228114</v>
      </c>
      <c r="F82" s="1062">
        <f t="shared" si="17"/>
        <v>22811.4</v>
      </c>
      <c r="G82" s="1078"/>
      <c r="H82" s="1079"/>
      <c r="I82" s="1064"/>
      <c r="J82" s="1078"/>
      <c r="K82" s="1079"/>
      <c r="L82" s="1064"/>
      <c r="M82" s="1078"/>
      <c r="N82" s="1080"/>
      <c r="O82" s="1064"/>
      <c r="P82" s="1066"/>
      <c r="Q82" s="1066"/>
      <c r="R82" s="1066"/>
    </row>
    <row r="83" spans="1:18" s="594" customFormat="1" ht="20.25" customHeight="1">
      <c r="A83" s="1090" t="s">
        <v>529</v>
      </c>
      <c r="B83" s="1091" t="s">
        <v>68</v>
      </c>
      <c r="C83" s="1092"/>
      <c r="D83" s="1093">
        <v>0.96505416868721705</v>
      </c>
      <c r="E83" s="1094">
        <f>SUM(E80:E82)</f>
        <v>9629756833</v>
      </c>
      <c r="F83" s="1095">
        <f t="shared" si="17"/>
        <v>9978462500.2962837</v>
      </c>
      <c r="G83" s="1094">
        <f t="shared" ref="G83:M83" si="20">G80+G82</f>
        <v>13495</v>
      </c>
      <c r="H83" s="1094">
        <f t="shared" si="20"/>
        <v>11156536000</v>
      </c>
      <c r="I83" s="1094">
        <f t="shared" si="20"/>
        <v>0</v>
      </c>
      <c r="J83" s="1094">
        <f t="shared" si="20"/>
        <v>0</v>
      </c>
      <c r="K83" s="1094">
        <f t="shared" si="20"/>
        <v>3258203000</v>
      </c>
      <c r="L83" s="1094">
        <f t="shared" si="20"/>
        <v>123729196.09534818</v>
      </c>
      <c r="M83" s="1094">
        <f t="shared" si="20"/>
        <v>2308</v>
      </c>
      <c r="N83" s="1094">
        <f>N80+N82</f>
        <v>2503421559.2799997</v>
      </c>
      <c r="O83" s="1094">
        <f t="shared" ref="O83:P83" si="21">O80+O82</f>
        <v>35150181.237006053</v>
      </c>
      <c r="P83" s="1094">
        <f t="shared" si="21"/>
        <v>0</v>
      </c>
      <c r="Q83" s="1096"/>
      <c r="R83" s="1096"/>
    </row>
    <row r="84" spans="1:18">
      <c r="A84" s="493"/>
      <c r="B84" s="494"/>
      <c r="C84" s="494"/>
      <c r="D84" s="494"/>
      <c r="E84" s="494"/>
      <c r="F84" s="494"/>
      <c r="G84" s="494"/>
      <c r="H84" s="494"/>
      <c r="I84" s="494"/>
      <c r="J84" s="494"/>
      <c r="K84" s="494"/>
      <c r="L84" s="494"/>
      <c r="M84" s="494"/>
      <c r="N84" s="705"/>
      <c r="O84" s="494"/>
      <c r="P84" s="494"/>
      <c r="Q84" s="494"/>
      <c r="R84" s="494"/>
    </row>
    <row r="86" spans="1:18">
      <c r="K86" s="61"/>
    </row>
  </sheetData>
  <mergeCells count="17">
    <mergeCell ref="A2:R2"/>
    <mergeCell ref="A3:R3"/>
    <mergeCell ref="A4:R4"/>
    <mergeCell ref="B5:D5"/>
    <mergeCell ref="F5:R5"/>
    <mergeCell ref="B6:D6"/>
    <mergeCell ref="F6:R6"/>
    <mergeCell ref="M7:O7"/>
    <mergeCell ref="P7:R7"/>
    <mergeCell ref="A10:B10"/>
    <mergeCell ref="J7:L7"/>
    <mergeCell ref="G7:I7"/>
    <mergeCell ref="A81:B81"/>
    <mergeCell ref="A7:A8"/>
    <mergeCell ref="B7:B8"/>
    <mergeCell ref="C7:C8"/>
    <mergeCell ref="D7:F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79998168889431442"/>
  </sheetPr>
  <dimension ref="A1:V23"/>
  <sheetViews>
    <sheetView workbookViewId="0">
      <selection activeCell="Q1" sqref="Q1:S1048576"/>
    </sheetView>
  </sheetViews>
  <sheetFormatPr defaultRowHeight="15"/>
  <cols>
    <col min="1" max="1" width="3.28515625" style="59" customWidth="1"/>
    <col min="2" max="2" width="6.42578125" style="59" customWidth="1"/>
    <col min="3" max="3" width="10.140625" style="59" customWidth="1"/>
    <col min="4" max="4" width="5.140625" style="59" customWidth="1"/>
    <col min="5" max="5" width="6.85546875" style="59" customWidth="1"/>
    <col min="6" max="6" width="11.85546875" style="59" customWidth="1"/>
    <col min="7" max="7" width="10.5703125" style="59" customWidth="1"/>
    <col min="8" max="8" width="6.85546875" style="59" customWidth="1"/>
    <col min="9" max="9" width="11.5703125" style="59" customWidth="1"/>
    <col min="10" max="10" width="9.85546875" style="59" customWidth="1"/>
    <col min="11" max="11" width="6.42578125" style="59" customWidth="1"/>
    <col min="12" max="12" width="10.5703125" style="59" customWidth="1"/>
    <col min="13" max="13" width="11" style="59" customWidth="1"/>
    <col min="14" max="14" width="5.85546875" style="59" customWidth="1"/>
    <col min="15" max="15" width="10.7109375" style="59" customWidth="1"/>
    <col min="16" max="16" width="10.85546875" style="59" customWidth="1"/>
    <col min="17" max="17" width="8.7109375" style="59" customWidth="1"/>
    <col min="18" max="18" width="10.7109375" style="59" customWidth="1"/>
    <col min="19" max="19" width="9.140625" style="59" customWidth="1"/>
    <col min="20" max="21" width="9.140625" style="59"/>
    <col min="22" max="22" width="10" style="59" bestFit="1" customWidth="1"/>
    <col min="23" max="256" width="9.140625" style="59"/>
    <col min="257" max="257" width="3.28515625" style="59" customWidth="1"/>
    <col min="258" max="258" width="6.42578125" style="59" customWidth="1"/>
    <col min="259" max="259" width="10.140625" style="59" customWidth="1"/>
    <col min="260" max="260" width="5.140625" style="59" customWidth="1"/>
    <col min="261" max="261" width="6.85546875" style="59" customWidth="1"/>
    <col min="262" max="262" width="11.85546875" style="59" customWidth="1"/>
    <col min="263" max="263" width="10.5703125" style="59" customWidth="1"/>
    <col min="264" max="264" width="6.85546875" style="59" customWidth="1"/>
    <col min="265" max="265" width="11.5703125" style="59" customWidth="1"/>
    <col min="266" max="266" width="9.85546875" style="59" customWidth="1"/>
    <col min="267" max="267" width="6.42578125" style="59" customWidth="1"/>
    <col min="268" max="268" width="10.5703125" style="59" customWidth="1"/>
    <col min="269" max="269" width="11" style="59" customWidth="1"/>
    <col min="270" max="270" width="5.85546875" style="59" customWidth="1"/>
    <col min="271" max="271" width="10.7109375" style="59" customWidth="1"/>
    <col min="272" max="272" width="10.85546875" style="59" customWidth="1"/>
    <col min="273" max="273" width="8.7109375" style="59" customWidth="1"/>
    <col min="274" max="274" width="10.7109375" style="59" customWidth="1"/>
    <col min="275" max="275" width="9.140625" style="59" customWidth="1"/>
    <col min="276" max="512" width="9.140625" style="59"/>
    <col min="513" max="513" width="3.28515625" style="59" customWidth="1"/>
    <col min="514" max="514" width="6.42578125" style="59" customWidth="1"/>
    <col min="515" max="515" width="10.140625" style="59" customWidth="1"/>
    <col min="516" max="516" width="5.140625" style="59" customWidth="1"/>
    <col min="517" max="517" width="6.85546875" style="59" customWidth="1"/>
    <col min="518" max="518" width="11.85546875" style="59" customWidth="1"/>
    <col min="519" max="519" width="10.5703125" style="59" customWidth="1"/>
    <col min="520" max="520" width="6.85546875" style="59" customWidth="1"/>
    <col min="521" max="521" width="11.5703125" style="59" customWidth="1"/>
    <col min="522" max="522" width="9.85546875" style="59" customWidth="1"/>
    <col min="523" max="523" width="6.42578125" style="59" customWidth="1"/>
    <col min="524" max="524" width="10.5703125" style="59" customWidth="1"/>
    <col min="525" max="525" width="11" style="59" customWidth="1"/>
    <col min="526" max="526" width="5.85546875" style="59" customWidth="1"/>
    <col min="527" max="527" width="10.7109375" style="59" customWidth="1"/>
    <col min="528" max="528" width="10.85546875" style="59" customWidth="1"/>
    <col min="529" max="529" width="8.7109375" style="59" customWidth="1"/>
    <col min="530" max="530" width="10.7109375" style="59" customWidth="1"/>
    <col min="531" max="531" width="9.140625" style="59" customWidth="1"/>
    <col min="532" max="768" width="9.140625" style="59"/>
    <col min="769" max="769" width="3.28515625" style="59" customWidth="1"/>
    <col min="770" max="770" width="6.42578125" style="59" customWidth="1"/>
    <col min="771" max="771" width="10.140625" style="59" customWidth="1"/>
    <col min="772" max="772" width="5.140625" style="59" customWidth="1"/>
    <col min="773" max="773" width="6.85546875" style="59" customWidth="1"/>
    <col min="774" max="774" width="11.85546875" style="59" customWidth="1"/>
    <col min="775" max="775" width="10.5703125" style="59" customWidth="1"/>
    <col min="776" max="776" width="6.85546875" style="59" customWidth="1"/>
    <col min="777" max="777" width="11.5703125" style="59" customWidth="1"/>
    <col min="778" max="778" width="9.85546875" style="59" customWidth="1"/>
    <col min="779" max="779" width="6.42578125" style="59" customWidth="1"/>
    <col min="780" max="780" width="10.5703125" style="59" customWidth="1"/>
    <col min="781" max="781" width="11" style="59" customWidth="1"/>
    <col min="782" max="782" width="5.85546875" style="59" customWidth="1"/>
    <col min="783" max="783" width="10.7109375" style="59" customWidth="1"/>
    <col min="784" max="784" width="10.85546875" style="59" customWidth="1"/>
    <col min="785" max="785" width="8.7109375" style="59" customWidth="1"/>
    <col min="786" max="786" width="10.7109375" style="59" customWidth="1"/>
    <col min="787" max="787" width="9.140625" style="59" customWidth="1"/>
    <col min="788" max="1024" width="9.140625" style="59"/>
    <col min="1025" max="1025" width="3.28515625" style="59" customWidth="1"/>
    <col min="1026" max="1026" width="6.42578125" style="59" customWidth="1"/>
    <col min="1027" max="1027" width="10.140625" style="59" customWidth="1"/>
    <col min="1028" max="1028" width="5.140625" style="59" customWidth="1"/>
    <col min="1029" max="1029" width="6.85546875" style="59" customWidth="1"/>
    <col min="1030" max="1030" width="11.85546875" style="59" customWidth="1"/>
    <col min="1031" max="1031" width="10.5703125" style="59" customWidth="1"/>
    <col min="1032" max="1032" width="6.85546875" style="59" customWidth="1"/>
    <col min="1033" max="1033" width="11.5703125" style="59" customWidth="1"/>
    <col min="1034" max="1034" width="9.85546875" style="59" customWidth="1"/>
    <col min="1035" max="1035" width="6.42578125" style="59" customWidth="1"/>
    <col min="1036" max="1036" width="10.5703125" style="59" customWidth="1"/>
    <col min="1037" max="1037" width="11" style="59" customWidth="1"/>
    <col min="1038" max="1038" width="5.85546875" style="59" customWidth="1"/>
    <col min="1039" max="1039" width="10.7109375" style="59" customWidth="1"/>
    <col min="1040" max="1040" width="10.85546875" style="59" customWidth="1"/>
    <col min="1041" max="1041" width="8.7109375" style="59" customWidth="1"/>
    <col min="1042" max="1042" width="10.7109375" style="59" customWidth="1"/>
    <col min="1043" max="1043" width="9.140625" style="59" customWidth="1"/>
    <col min="1044" max="1280" width="9.140625" style="59"/>
    <col min="1281" max="1281" width="3.28515625" style="59" customWidth="1"/>
    <col min="1282" max="1282" width="6.42578125" style="59" customWidth="1"/>
    <col min="1283" max="1283" width="10.140625" style="59" customWidth="1"/>
    <col min="1284" max="1284" width="5.140625" style="59" customWidth="1"/>
    <col min="1285" max="1285" width="6.85546875" style="59" customWidth="1"/>
    <col min="1286" max="1286" width="11.85546875" style="59" customWidth="1"/>
    <col min="1287" max="1287" width="10.5703125" style="59" customWidth="1"/>
    <col min="1288" max="1288" width="6.85546875" style="59" customWidth="1"/>
    <col min="1289" max="1289" width="11.5703125" style="59" customWidth="1"/>
    <col min="1290" max="1290" width="9.85546875" style="59" customWidth="1"/>
    <col min="1291" max="1291" width="6.42578125" style="59" customWidth="1"/>
    <col min="1292" max="1292" width="10.5703125" style="59" customWidth="1"/>
    <col min="1293" max="1293" width="11" style="59" customWidth="1"/>
    <col min="1294" max="1294" width="5.85546875" style="59" customWidth="1"/>
    <col min="1295" max="1295" width="10.7109375" style="59" customWidth="1"/>
    <col min="1296" max="1296" width="10.85546875" style="59" customWidth="1"/>
    <col min="1297" max="1297" width="8.7109375" style="59" customWidth="1"/>
    <col min="1298" max="1298" width="10.7109375" style="59" customWidth="1"/>
    <col min="1299" max="1299" width="9.140625" style="59" customWidth="1"/>
    <col min="1300" max="1536" width="9.140625" style="59"/>
    <col min="1537" max="1537" width="3.28515625" style="59" customWidth="1"/>
    <col min="1538" max="1538" width="6.42578125" style="59" customWidth="1"/>
    <col min="1539" max="1539" width="10.140625" style="59" customWidth="1"/>
    <col min="1540" max="1540" width="5.140625" style="59" customWidth="1"/>
    <col min="1541" max="1541" width="6.85546875" style="59" customWidth="1"/>
    <col min="1542" max="1542" width="11.85546875" style="59" customWidth="1"/>
    <col min="1543" max="1543" width="10.5703125" style="59" customWidth="1"/>
    <col min="1544" max="1544" width="6.85546875" style="59" customWidth="1"/>
    <col min="1545" max="1545" width="11.5703125" style="59" customWidth="1"/>
    <col min="1546" max="1546" width="9.85546875" style="59" customWidth="1"/>
    <col min="1547" max="1547" width="6.42578125" style="59" customWidth="1"/>
    <col min="1548" max="1548" width="10.5703125" style="59" customWidth="1"/>
    <col min="1549" max="1549" width="11" style="59" customWidth="1"/>
    <col min="1550" max="1550" width="5.85546875" style="59" customWidth="1"/>
    <col min="1551" max="1551" width="10.7109375" style="59" customWidth="1"/>
    <col min="1552" max="1552" width="10.85546875" style="59" customWidth="1"/>
    <col min="1553" max="1553" width="8.7109375" style="59" customWidth="1"/>
    <col min="1554" max="1554" width="10.7109375" style="59" customWidth="1"/>
    <col min="1555" max="1555" width="9.140625" style="59" customWidth="1"/>
    <col min="1556" max="1792" width="9.140625" style="59"/>
    <col min="1793" max="1793" width="3.28515625" style="59" customWidth="1"/>
    <col min="1794" max="1794" width="6.42578125" style="59" customWidth="1"/>
    <col min="1795" max="1795" width="10.140625" style="59" customWidth="1"/>
    <col min="1796" max="1796" width="5.140625" style="59" customWidth="1"/>
    <col min="1797" max="1797" width="6.85546875" style="59" customWidth="1"/>
    <col min="1798" max="1798" width="11.85546875" style="59" customWidth="1"/>
    <col min="1799" max="1799" width="10.5703125" style="59" customWidth="1"/>
    <col min="1800" max="1800" width="6.85546875" style="59" customWidth="1"/>
    <col min="1801" max="1801" width="11.5703125" style="59" customWidth="1"/>
    <col min="1802" max="1802" width="9.85546875" style="59" customWidth="1"/>
    <col min="1803" max="1803" width="6.42578125" style="59" customWidth="1"/>
    <col min="1804" max="1804" width="10.5703125" style="59" customWidth="1"/>
    <col min="1805" max="1805" width="11" style="59" customWidth="1"/>
    <col min="1806" max="1806" width="5.85546875" style="59" customWidth="1"/>
    <col min="1807" max="1807" width="10.7109375" style="59" customWidth="1"/>
    <col min="1808" max="1808" width="10.85546875" style="59" customWidth="1"/>
    <col min="1809" max="1809" width="8.7109375" style="59" customWidth="1"/>
    <col min="1810" max="1810" width="10.7109375" style="59" customWidth="1"/>
    <col min="1811" max="1811" width="9.140625" style="59" customWidth="1"/>
    <col min="1812" max="2048" width="9.140625" style="59"/>
    <col min="2049" max="2049" width="3.28515625" style="59" customWidth="1"/>
    <col min="2050" max="2050" width="6.42578125" style="59" customWidth="1"/>
    <col min="2051" max="2051" width="10.140625" style="59" customWidth="1"/>
    <col min="2052" max="2052" width="5.140625" style="59" customWidth="1"/>
    <col min="2053" max="2053" width="6.85546875" style="59" customWidth="1"/>
    <col min="2054" max="2054" width="11.85546875" style="59" customWidth="1"/>
    <col min="2055" max="2055" width="10.5703125" style="59" customWidth="1"/>
    <col min="2056" max="2056" width="6.85546875" style="59" customWidth="1"/>
    <col min="2057" max="2057" width="11.5703125" style="59" customWidth="1"/>
    <col min="2058" max="2058" width="9.85546875" style="59" customWidth="1"/>
    <col min="2059" max="2059" width="6.42578125" style="59" customWidth="1"/>
    <col min="2060" max="2060" width="10.5703125" style="59" customWidth="1"/>
    <col min="2061" max="2061" width="11" style="59" customWidth="1"/>
    <col min="2062" max="2062" width="5.85546875" style="59" customWidth="1"/>
    <col min="2063" max="2063" width="10.7109375" style="59" customWidth="1"/>
    <col min="2064" max="2064" width="10.85546875" style="59" customWidth="1"/>
    <col min="2065" max="2065" width="8.7109375" style="59" customWidth="1"/>
    <col min="2066" max="2066" width="10.7109375" style="59" customWidth="1"/>
    <col min="2067" max="2067" width="9.140625" style="59" customWidth="1"/>
    <col min="2068" max="2304" width="9.140625" style="59"/>
    <col min="2305" max="2305" width="3.28515625" style="59" customWidth="1"/>
    <col min="2306" max="2306" width="6.42578125" style="59" customWidth="1"/>
    <col min="2307" max="2307" width="10.140625" style="59" customWidth="1"/>
    <col min="2308" max="2308" width="5.140625" style="59" customWidth="1"/>
    <col min="2309" max="2309" width="6.85546875" style="59" customWidth="1"/>
    <col min="2310" max="2310" width="11.85546875" style="59" customWidth="1"/>
    <col min="2311" max="2311" width="10.5703125" style="59" customWidth="1"/>
    <col min="2312" max="2312" width="6.85546875" style="59" customWidth="1"/>
    <col min="2313" max="2313" width="11.5703125" style="59" customWidth="1"/>
    <col min="2314" max="2314" width="9.85546875" style="59" customWidth="1"/>
    <col min="2315" max="2315" width="6.42578125" style="59" customWidth="1"/>
    <col min="2316" max="2316" width="10.5703125" style="59" customWidth="1"/>
    <col min="2317" max="2317" width="11" style="59" customWidth="1"/>
    <col min="2318" max="2318" width="5.85546875" style="59" customWidth="1"/>
    <col min="2319" max="2319" width="10.7109375" style="59" customWidth="1"/>
    <col min="2320" max="2320" width="10.85546875" style="59" customWidth="1"/>
    <col min="2321" max="2321" width="8.7109375" style="59" customWidth="1"/>
    <col min="2322" max="2322" width="10.7109375" style="59" customWidth="1"/>
    <col min="2323" max="2323" width="9.140625" style="59" customWidth="1"/>
    <col min="2324" max="2560" width="9.140625" style="59"/>
    <col min="2561" max="2561" width="3.28515625" style="59" customWidth="1"/>
    <col min="2562" max="2562" width="6.42578125" style="59" customWidth="1"/>
    <col min="2563" max="2563" width="10.140625" style="59" customWidth="1"/>
    <col min="2564" max="2564" width="5.140625" style="59" customWidth="1"/>
    <col min="2565" max="2565" width="6.85546875" style="59" customWidth="1"/>
    <col min="2566" max="2566" width="11.85546875" style="59" customWidth="1"/>
    <col min="2567" max="2567" width="10.5703125" style="59" customWidth="1"/>
    <col min="2568" max="2568" width="6.85546875" style="59" customWidth="1"/>
    <col min="2569" max="2569" width="11.5703125" style="59" customWidth="1"/>
    <col min="2570" max="2570" width="9.85546875" style="59" customWidth="1"/>
    <col min="2571" max="2571" width="6.42578125" style="59" customWidth="1"/>
    <col min="2572" max="2572" width="10.5703125" style="59" customWidth="1"/>
    <col min="2573" max="2573" width="11" style="59" customWidth="1"/>
    <col min="2574" max="2574" width="5.85546875" style="59" customWidth="1"/>
    <col min="2575" max="2575" width="10.7109375" style="59" customWidth="1"/>
    <col min="2576" max="2576" width="10.85546875" style="59" customWidth="1"/>
    <col min="2577" max="2577" width="8.7109375" style="59" customWidth="1"/>
    <col min="2578" max="2578" width="10.7109375" style="59" customWidth="1"/>
    <col min="2579" max="2579" width="9.140625" style="59" customWidth="1"/>
    <col min="2580" max="2816" width="9.140625" style="59"/>
    <col min="2817" max="2817" width="3.28515625" style="59" customWidth="1"/>
    <col min="2818" max="2818" width="6.42578125" style="59" customWidth="1"/>
    <col min="2819" max="2819" width="10.140625" style="59" customWidth="1"/>
    <col min="2820" max="2820" width="5.140625" style="59" customWidth="1"/>
    <col min="2821" max="2821" width="6.85546875" style="59" customWidth="1"/>
    <col min="2822" max="2822" width="11.85546875" style="59" customWidth="1"/>
    <col min="2823" max="2823" width="10.5703125" style="59" customWidth="1"/>
    <col min="2824" max="2824" width="6.85546875" style="59" customWidth="1"/>
    <col min="2825" max="2825" width="11.5703125" style="59" customWidth="1"/>
    <col min="2826" max="2826" width="9.85546875" style="59" customWidth="1"/>
    <col min="2827" max="2827" width="6.42578125" style="59" customWidth="1"/>
    <col min="2828" max="2828" width="10.5703125" style="59" customWidth="1"/>
    <col min="2829" max="2829" width="11" style="59" customWidth="1"/>
    <col min="2830" max="2830" width="5.85546875" style="59" customWidth="1"/>
    <col min="2831" max="2831" width="10.7109375" style="59" customWidth="1"/>
    <col min="2832" max="2832" width="10.85546875" style="59" customWidth="1"/>
    <col min="2833" max="2833" width="8.7109375" style="59" customWidth="1"/>
    <col min="2834" max="2834" width="10.7109375" style="59" customWidth="1"/>
    <col min="2835" max="2835" width="9.140625" style="59" customWidth="1"/>
    <col min="2836" max="3072" width="9.140625" style="59"/>
    <col min="3073" max="3073" width="3.28515625" style="59" customWidth="1"/>
    <col min="3074" max="3074" width="6.42578125" style="59" customWidth="1"/>
    <col min="3075" max="3075" width="10.140625" style="59" customWidth="1"/>
    <col min="3076" max="3076" width="5.140625" style="59" customWidth="1"/>
    <col min="3077" max="3077" width="6.85546875" style="59" customWidth="1"/>
    <col min="3078" max="3078" width="11.85546875" style="59" customWidth="1"/>
    <col min="3079" max="3079" width="10.5703125" style="59" customWidth="1"/>
    <col min="3080" max="3080" width="6.85546875" style="59" customWidth="1"/>
    <col min="3081" max="3081" width="11.5703125" style="59" customWidth="1"/>
    <col min="3082" max="3082" width="9.85546875" style="59" customWidth="1"/>
    <col min="3083" max="3083" width="6.42578125" style="59" customWidth="1"/>
    <col min="3084" max="3084" width="10.5703125" style="59" customWidth="1"/>
    <col min="3085" max="3085" width="11" style="59" customWidth="1"/>
    <col min="3086" max="3086" width="5.85546875" style="59" customWidth="1"/>
    <col min="3087" max="3087" width="10.7109375" style="59" customWidth="1"/>
    <col min="3088" max="3088" width="10.85546875" style="59" customWidth="1"/>
    <col min="3089" max="3089" width="8.7109375" style="59" customWidth="1"/>
    <col min="3090" max="3090" width="10.7109375" style="59" customWidth="1"/>
    <col min="3091" max="3091" width="9.140625" style="59" customWidth="1"/>
    <col min="3092" max="3328" width="9.140625" style="59"/>
    <col min="3329" max="3329" width="3.28515625" style="59" customWidth="1"/>
    <col min="3330" max="3330" width="6.42578125" style="59" customWidth="1"/>
    <col min="3331" max="3331" width="10.140625" style="59" customWidth="1"/>
    <col min="3332" max="3332" width="5.140625" style="59" customWidth="1"/>
    <col min="3333" max="3333" width="6.85546875" style="59" customWidth="1"/>
    <col min="3334" max="3334" width="11.85546875" style="59" customWidth="1"/>
    <col min="3335" max="3335" width="10.5703125" style="59" customWidth="1"/>
    <col min="3336" max="3336" width="6.85546875" style="59" customWidth="1"/>
    <col min="3337" max="3337" width="11.5703125" style="59" customWidth="1"/>
    <col min="3338" max="3338" width="9.85546875" style="59" customWidth="1"/>
    <col min="3339" max="3339" width="6.42578125" style="59" customWidth="1"/>
    <col min="3340" max="3340" width="10.5703125" style="59" customWidth="1"/>
    <col min="3341" max="3341" width="11" style="59" customWidth="1"/>
    <col min="3342" max="3342" width="5.85546875" style="59" customWidth="1"/>
    <col min="3343" max="3343" width="10.7109375" style="59" customWidth="1"/>
    <col min="3344" max="3344" width="10.85546875" style="59" customWidth="1"/>
    <col min="3345" max="3345" width="8.7109375" style="59" customWidth="1"/>
    <col min="3346" max="3346" width="10.7109375" style="59" customWidth="1"/>
    <col min="3347" max="3347" width="9.140625" style="59" customWidth="1"/>
    <col min="3348" max="3584" width="9.140625" style="59"/>
    <col min="3585" max="3585" width="3.28515625" style="59" customWidth="1"/>
    <col min="3586" max="3586" width="6.42578125" style="59" customWidth="1"/>
    <col min="3587" max="3587" width="10.140625" style="59" customWidth="1"/>
    <col min="3588" max="3588" width="5.140625" style="59" customWidth="1"/>
    <col min="3589" max="3589" width="6.85546875" style="59" customWidth="1"/>
    <col min="3590" max="3590" width="11.85546875" style="59" customWidth="1"/>
    <col min="3591" max="3591" width="10.5703125" style="59" customWidth="1"/>
    <col min="3592" max="3592" width="6.85546875" style="59" customWidth="1"/>
    <col min="3593" max="3593" width="11.5703125" style="59" customWidth="1"/>
    <col min="3594" max="3594" width="9.85546875" style="59" customWidth="1"/>
    <col min="3595" max="3595" width="6.42578125" style="59" customWidth="1"/>
    <col min="3596" max="3596" width="10.5703125" style="59" customWidth="1"/>
    <col min="3597" max="3597" width="11" style="59" customWidth="1"/>
    <col min="3598" max="3598" width="5.85546875" style="59" customWidth="1"/>
    <col min="3599" max="3599" width="10.7109375" style="59" customWidth="1"/>
    <col min="3600" max="3600" width="10.85546875" style="59" customWidth="1"/>
    <col min="3601" max="3601" width="8.7109375" style="59" customWidth="1"/>
    <col min="3602" max="3602" width="10.7109375" style="59" customWidth="1"/>
    <col min="3603" max="3603" width="9.140625" style="59" customWidth="1"/>
    <col min="3604" max="3840" width="9.140625" style="59"/>
    <col min="3841" max="3841" width="3.28515625" style="59" customWidth="1"/>
    <col min="3842" max="3842" width="6.42578125" style="59" customWidth="1"/>
    <col min="3843" max="3843" width="10.140625" style="59" customWidth="1"/>
    <col min="3844" max="3844" width="5.140625" style="59" customWidth="1"/>
    <col min="3845" max="3845" width="6.85546875" style="59" customWidth="1"/>
    <col min="3846" max="3846" width="11.85546875" style="59" customWidth="1"/>
    <col min="3847" max="3847" width="10.5703125" style="59" customWidth="1"/>
    <col min="3848" max="3848" width="6.85546875" style="59" customWidth="1"/>
    <col min="3849" max="3849" width="11.5703125" style="59" customWidth="1"/>
    <col min="3850" max="3850" width="9.85546875" style="59" customWidth="1"/>
    <col min="3851" max="3851" width="6.42578125" style="59" customWidth="1"/>
    <col min="3852" max="3852" width="10.5703125" style="59" customWidth="1"/>
    <col min="3853" max="3853" width="11" style="59" customWidth="1"/>
    <col min="3854" max="3854" width="5.85546875" style="59" customWidth="1"/>
    <col min="3855" max="3855" width="10.7109375" style="59" customWidth="1"/>
    <col min="3856" max="3856" width="10.85546875" style="59" customWidth="1"/>
    <col min="3857" max="3857" width="8.7109375" style="59" customWidth="1"/>
    <col min="3858" max="3858" width="10.7109375" style="59" customWidth="1"/>
    <col min="3859" max="3859" width="9.140625" style="59" customWidth="1"/>
    <col min="3860" max="4096" width="9.140625" style="59"/>
    <col min="4097" max="4097" width="3.28515625" style="59" customWidth="1"/>
    <col min="4098" max="4098" width="6.42578125" style="59" customWidth="1"/>
    <col min="4099" max="4099" width="10.140625" style="59" customWidth="1"/>
    <col min="4100" max="4100" width="5.140625" style="59" customWidth="1"/>
    <col min="4101" max="4101" width="6.85546875" style="59" customWidth="1"/>
    <col min="4102" max="4102" width="11.85546875" style="59" customWidth="1"/>
    <col min="4103" max="4103" width="10.5703125" style="59" customWidth="1"/>
    <col min="4104" max="4104" width="6.85546875" style="59" customWidth="1"/>
    <col min="4105" max="4105" width="11.5703125" style="59" customWidth="1"/>
    <col min="4106" max="4106" width="9.85546875" style="59" customWidth="1"/>
    <col min="4107" max="4107" width="6.42578125" style="59" customWidth="1"/>
    <col min="4108" max="4108" width="10.5703125" style="59" customWidth="1"/>
    <col min="4109" max="4109" width="11" style="59" customWidth="1"/>
    <col min="4110" max="4110" width="5.85546875" style="59" customWidth="1"/>
    <col min="4111" max="4111" width="10.7109375" style="59" customWidth="1"/>
    <col min="4112" max="4112" width="10.85546875" style="59" customWidth="1"/>
    <col min="4113" max="4113" width="8.7109375" style="59" customWidth="1"/>
    <col min="4114" max="4114" width="10.7109375" style="59" customWidth="1"/>
    <col min="4115" max="4115" width="9.140625" style="59" customWidth="1"/>
    <col min="4116" max="4352" width="9.140625" style="59"/>
    <col min="4353" max="4353" width="3.28515625" style="59" customWidth="1"/>
    <col min="4354" max="4354" width="6.42578125" style="59" customWidth="1"/>
    <col min="4355" max="4355" width="10.140625" style="59" customWidth="1"/>
    <col min="4356" max="4356" width="5.140625" style="59" customWidth="1"/>
    <col min="4357" max="4357" width="6.85546875" style="59" customWidth="1"/>
    <col min="4358" max="4358" width="11.85546875" style="59" customWidth="1"/>
    <col min="4359" max="4359" width="10.5703125" style="59" customWidth="1"/>
    <col min="4360" max="4360" width="6.85546875" style="59" customWidth="1"/>
    <col min="4361" max="4361" width="11.5703125" style="59" customWidth="1"/>
    <col min="4362" max="4362" width="9.85546875" style="59" customWidth="1"/>
    <col min="4363" max="4363" width="6.42578125" style="59" customWidth="1"/>
    <col min="4364" max="4364" width="10.5703125" style="59" customWidth="1"/>
    <col min="4365" max="4365" width="11" style="59" customWidth="1"/>
    <col min="4366" max="4366" width="5.85546875" style="59" customWidth="1"/>
    <col min="4367" max="4367" width="10.7109375" style="59" customWidth="1"/>
    <col min="4368" max="4368" width="10.85546875" style="59" customWidth="1"/>
    <col min="4369" max="4369" width="8.7109375" style="59" customWidth="1"/>
    <col min="4370" max="4370" width="10.7109375" style="59" customWidth="1"/>
    <col min="4371" max="4371" width="9.140625" style="59" customWidth="1"/>
    <col min="4372" max="4608" width="9.140625" style="59"/>
    <col min="4609" max="4609" width="3.28515625" style="59" customWidth="1"/>
    <col min="4610" max="4610" width="6.42578125" style="59" customWidth="1"/>
    <col min="4611" max="4611" width="10.140625" style="59" customWidth="1"/>
    <col min="4612" max="4612" width="5.140625" style="59" customWidth="1"/>
    <col min="4613" max="4613" width="6.85546875" style="59" customWidth="1"/>
    <col min="4614" max="4614" width="11.85546875" style="59" customWidth="1"/>
    <col min="4615" max="4615" width="10.5703125" style="59" customWidth="1"/>
    <col min="4616" max="4616" width="6.85546875" style="59" customWidth="1"/>
    <col min="4617" max="4617" width="11.5703125" style="59" customWidth="1"/>
    <col min="4618" max="4618" width="9.85546875" style="59" customWidth="1"/>
    <col min="4619" max="4619" width="6.42578125" style="59" customWidth="1"/>
    <col min="4620" max="4620" width="10.5703125" style="59" customWidth="1"/>
    <col min="4621" max="4621" width="11" style="59" customWidth="1"/>
    <col min="4622" max="4622" width="5.85546875" style="59" customWidth="1"/>
    <col min="4623" max="4623" width="10.7109375" style="59" customWidth="1"/>
    <col min="4624" max="4624" width="10.85546875" style="59" customWidth="1"/>
    <col min="4625" max="4625" width="8.7109375" style="59" customWidth="1"/>
    <col min="4626" max="4626" width="10.7109375" style="59" customWidth="1"/>
    <col min="4627" max="4627" width="9.140625" style="59" customWidth="1"/>
    <col min="4628" max="4864" width="9.140625" style="59"/>
    <col min="4865" max="4865" width="3.28515625" style="59" customWidth="1"/>
    <col min="4866" max="4866" width="6.42578125" style="59" customWidth="1"/>
    <col min="4867" max="4867" width="10.140625" style="59" customWidth="1"/>
    <col min="4868" max="4868" width="5.140625" style="59" customWidth="1"/>
    <col min="4869" max="4869" width="6.85546875" style="59" customWidth="1"/>
    <col min="4870" max="4870" width="11.85546875" style="59" customWidth="1"/>
    <col min="4871" max="4871" width="10.5703125" style="59" customWidth="1"/>
    <col min="4872" max="4872" width="6.85546875" style="59" customWidth="1"/>
    <col min="4873" max="4873" width="11.5703125" style="59" customWidth="1"/>
    <col min="4874" max="4874" width="9.85546875" style="59" customWidth="1"/>
    <col min="4875" max="4875" width="6.42578125" style="59" customWidth="1"/>
    <col min="4876" max="4876" width="10.5703125" style="59" customWidth="1"/>
    <col min="4877" max="4877" width="11" style="59" customWidth="1"/>
    <col min="4878" max="4878" width="5.85546875" style="59" customWidth="1"/>
    <col min="4879" max="4879" width="10.7109375" style="59" customWidth="1"/>
    <col min="4880" max="4880" width="10.85546875" style="59" customWidth="1"/>
    <col min="4881" max="4881" width="8.7109375" style="59" customWidth="1"/>
    <col min="4882" max="4882" width="10.7109375" style="59" customWidth="1"/>
    <col min="4883" max="4883" width="9.140625" style="59" customWidth="1"/>
    <col min="4884" max="5120" width="9.140625" style="59"/>
    <col min="5121" max="5121" width="3.28515625" style="59" customWidth="1"/>
    <col min="5122" max="5122" width="6.42578125" style="59" customWidth="1"/>
    <col min="5123" max="5123" width="10.140625" style="59" customWidth="1"/>
    <col min="5124" max="5124" width="5.140625" style="59" customWidth="1"/>
    <col min="5125" max="5125" width="6.85546875" style="59" customWidth="1"/>
    <col min="5126" max="5126" width="11.85546875" style="59" customWidth="1"/>
    <col min="5127" max="5127" width="10.5703125" style="59" customWidth="1"/>
    <col min="5128" max="5128" width="6.85546875" style="59" customWidth="1"/>
    <col min="5129" max="5129" width="11.5703125" style="59" customWidth="1"/>
    <col min="5130" max="5130" width="9.85546875" style="59" customWidth="1"/>
    <col min="5131" max="5131" width="6.42578125" style="59" customWidth="1"/>
    <col min="5132" max="5132" width="10.5703125" style="59" customWidth="1"/>
    <col min="5133" max="5133" width="11" style="59" customWidth="1"/>
    <col min="5134" max="5134" width="5.85546875" style="59" customWidth="1"/>
    <col min="5135" max="5135" width="10.7109375" style="59" customWidth="1"/>
    <col min="5136" max="5136" width="10.85546875" style="59" customWidth="1"/>
    <col min="5137" max="5137" width="8.7109375" style="59" customWidth="1"/>
    <col min="5138" max="5138" width="10.7109375" style="59" customWidth="1"/>
    <col min="5139" max="5139" width="9.140625" style="59" customWidth="1"/>
    <col min="5140" max="5376" width="9.140625" style="59"/>
    <col min="5377" max="5377" width="3.28515625" style="59" customWidth="1"/>
    <col min="5378" max="5378" width="6.42578125" style="59" customWidth="1"/>
    <col min="5379" max="5379" width="10.140625" style="59" customWidth="1"/>
    <col min="5380" max="5380" width="5.140625" style="59" customWidth="1"/>
    <col min="5381" max="5381" width="6.85546875" style="59" customWidth="1"/>
    <col min="5382" max="5382" width="11.85546875" style="59" customWidth="1"/>
    <col min="5383" max="5383" width="10.5703125" style="59" customWidth="1"/>
    <col min="5384" max="5384" width="6.85546875" style="59" customWidth="1"/>
    <col min="5385" max="5385" width="11.5703125" style="59" customWidth="1"/>
    <col min="5386" max="5386" width="9.85546875" style="59" customWidth="1"/>
    <col min="5387" max="5387" width="6.42578125" style="59" customWidth="1"/>
    <col min="5388" max="5388" width="10.5703125" style="59" customWidth="1"/>
    <col min="5389" max="5389" width="11" style="59" customWidth="1"/>
    <col min="5390" max="5390" width="5.85546875" style="59" customWidth="1"/>
    <col min="5391" max="5391" width="10.7109375" style="59" customWidth="1"/>
    <col min="5392" max="5392" width="10.85546875" style="59" customWidth="1"/>
    <col min="5393" max="5393" width="8.7109375" style="59" customWidth="1"/>
    <col min="5394" max="5394" width="10.7109375" style="59" customWidth="1"/>
    <col min="5395" max="5395" width="9.140625" style="59" customWidth="1"/>
    <col min="5396" max="5632" width="9.140625" style="59"/>
    <col min="5633" max="5633" width="3.28515625" style="59" customWidth="1"/>
    <col min="5634" max="5634" width="6.42578125" style="59" customWidth="1"/>
    <col min="5635" max="5635" width="10.140625" style="59" customWidth="1"/>
    <col min="5636" max="5636" width="5.140625" style="59" customWidth="1"/>
    <col min="5637" max="5637" width="6.85546875" style="59" customWidth="1"/>
    <col min="5638" max="5638" width="11.85546875" style="59" customWidth="1"/>
    <col min="5639" max="5639" width="10.5703125" style="59" customWidth="1"/>
    <col min="5640" max="5640" width="6.85546875" style="59" customWidth="1"/>
    <col min="5641" max="5641" width="11.5703125" style="59" customWidth="1"/>
    <col min="5642" max="5642" width="9.85546875" style="59" customWidth="1"/>
    <col min="5643" max="5643" width="6.42578125" style="59" customWidth="1"/>
    <col min="5644" max="5644" width="10.5703125" style="59" customWidth="1"/>
    <col min="5645" max="5645" width="11" style="59" customWidth="1"/>
    <col min="5646" max="5646" width="5.85546875" style="59" customWidth="1"/>
    <col min="5647" max="5647" width="10.7109375" style="59" customWidth="1"/>
    <col min="5648" max="5648" width="10.85546875" style="59" customWidth="1"/>
    <col min="5649" max="5649" width="8.7109375" style="59" customWidth="1"/>
    <col min="5650" max="5650" width="10.7109375" style="59" customWidth="1"/>
    <col min="5651" max="5651" width="9.140625" style="59" customWidth="1"/>
    <col min="5652" max="5888" width="9.140625" style="59"/>
    <col min="5889" max="5889" width="3.28515625" style="59" customWidth="1"/>
    <col min="5890" max="5890" width="6.42578125" style="59" customWidth="1"/>
    <col min="5891" max="5891" width="10.140625" style="59" customWidth="1"/>
    <col min="5892" max="5892" width="5.140625" style="59" customWidth="1"/>
    <col min="5893" max="5893" width="6.85546875" style="59" customWidth="1"/>
    <col min="5894" max="5894" width="11.85546875" style="59" customWidth="1"/>
    <col min="5895" max="5895" width="10.5703125" style="59" customWidth="1"/>
    <col min="5896" max="5896" width="6.85546875" style="59" customWidth="1"/>
    <col min="5897" max="5897" width="11.5703125" style="59" customWidth="1"/>
    <col min="5898" max="5898" width="9.85546875" style="59" customWidth="1"/>
    <col min="5899" max="5899" width="6.42578125" style="59" customWidth="1"/>
    <col min="5900" max="5900" width="10.5703125" style="59" customWidth="1"/>
    <col min="5901" max="5901" width="11" style="59" customWidth="1"/>
    <col min="5902" max="5902" width="5.85546875" style="59" customWidth="1"/>
    <col min="5903" max="5903" width="10.7109375" style="59" customWidth="1"/>
    <col min="5904" max="5904" width="10.85546875" style="59" customWidth="1"/>
    <col min="5905" max="5905" width="8.7109375" style="59" customWidth="1"/>
    <col min="5906" max="5906" width="10.7109375" style="59" customWidth="1"/>
    <col min="5907" max="5907" width="9.140625" style="59" customWidth="1"/>
    <col min="5908" max="6144" width="9.140625" style="59"/>
    <col min="6145" max="6145" width="3.28515625" style="59" customWidth="1"/>
    <col min="6146" max="6146" width="6.42578125" style="59" customWidth="1"/>
    <col min="6147" max="6147" width="10.140625" style="59" customWidth="1"/>
    <col min="6148" max="6148" width="5.140625" style="59" customWidth="1"/>
    <col min="6149" max="6149" width="6.85546875" style="59" customWidth="1"/>
    <col min="6150" max="6150" width="11.85546875" style="59" customWidth="1"/>
    <col min="6151" max="6151" width="10.5703125" style="59" customWidth="1"/>
    <col min="6152" max="6152" width="6.85546875" style="59" customWidth="1"/>
    <col min="6153" max="6153" width="11.5703125" style="59" customWidth="1"/>
    <col min="6154" max="6154" width="9.85546875" style="59" customWidth="1"/>
    <col min="6155" max="6155" width="6.42578125" style="59" customWidth="1"/>
    <col min="6156" max="6156" width="10.5703125" style="59" customWidth="1"/>
    <col min="6157" max="6157" width="11" style="59" customWidth="1"/>
    <col min="6158" max="6158" width="5.85546875" style="59" customWidth="1"/>
    <col min="6159" max="6159" width="10.7109375" style="59" customWidth="1"/>
    <col min="6160" max="6160" width="10.85546875" style="59" customWidth="1"/>
    <col min="6161" max="6161" width="8.7109375" style="59" customWidth="1"/>
    <col min="6162" max="6162" width="10.7109375" style="59" customWidth="1"/>
    <col min="6163" max="6163" width="9.140625" style="59" customWidth="1"/>
    <col min="6164" max="6400" width="9.140625" style="59"/>
    <col min="6401" max="6401" width="3.28515625" style="59" customWidth="1"/>
    <col min="6402" max="6402" width="6.42578125" style="59" customWidth="1"/>
    <col min="6403" max="6403" width="10.140625" style="59" customWidth="1"/>
    <col min="6404" max="6404" width="5.140625" style="59" customWidth="1"/>
    <col min="6405" max="6405" width="6.85546875" style="59" customWidth="1"/>
    <col min="6406" max="6406" width="11.85546875" style="59" customWidth="1"/>
    <col min="6407" max="6407" width="10.5703125" style="59" customWidth="1"/>
    <col min="6408" max="6408" width="6.85546875" style="59" customWidth="1"/>
    <col min="6409" max="6409" width="11.5703125" style="59" customWidth="1"/>
    <col min="6410" max="6410" width="9.85546875" style="59" customWidth="1"/>
    <col min="6411" max="6411" width="6.42578125" style="59" customWidth="1"/>
    <col min="6412" max="6412" width="10.5703125" style="59" customWidth="1"/>
    <col min="6413" max="6413" width="11" style="59" customWidth="1"/>
    <col min="6414" max="6414" width="5.85546875" style="59" customWidth="1"/>
    <col min="6415" max="6415" width="10.7109375" style="59" customWidth="1"/>
    <col min="6416" max="6416" width="10.85546875" style="59" customWidth="1"/>
    <col min="6417" max="6417" width="8.7109375" style="59" customWidth="1"/>
    <col min="6418" max="6418" width="10.7109375" style="59" customWidth="1"/>
    <col min="6419" max="6419" width="9.140625" style="59" customWidth="1"/>
    <col min="6420" max="6656" width="9.140625" style="59"/>
    <col min="6657" max="6657" width="3.28515625" style="59" customWidth="1"/>
    <col min="6658" max="6658" width="6.42578125" style="59" customWidth="1"/>
    <col min="6659" max="6659" width="10.140625" style="59" customWidth="1"/>
    <col min="6660" max="6660" width="5.140625" style="59" customWidth="1"/>
    <col min="6661" max="6661" width="6.85546875" style="59" customWidth="1"/>
    <col min="6662" max="6662" width="11.85546875" style="59" customWidth="1"/>
    <col min="6663" max="6663" width="10.5703125" style="59" customWidth="1"/>
    <col min="6664" max="6664" width="6.85546875" style="59" customWidth="1"/>
    <col min="6665" max="6665" width="11.5703125" style="59" customWidth="1"/>
    <col min="6666" max="6666" width="9.85546875" style="59" customWidth="1"/>
    <col min="6667" max="6667" width="6.42578125" style="59" customWidth="1"/>
    <col min="6668" max="6668" width="10.5703125" style="59" customWidth="1"/>
    <col min="6669" max="6669" width="11" style="59" customWidth="1"/>
    <col min="6670" max="6670" width="5.85546875" style="59" customWidth="1"/>
    <col min="6671" max="6671" width="10.7109375" style="59" customWidth="1"/>
    <col min="6672" max="6672" width="10.85546875" style="59" customWidth="1"/>
    <col min="6673" max="6673" width="8.7109375" style="59" customWidth="1"/>
    <col min="6674" max="6674" width="10.7109375" style="59" customWidth="1"/>
    <col min="6675" max="6675" width="9.140625" style="59" customWidth="1"/>
    <col min="6676" max="6912" width="9.140625" style="59"/>
    <col min="6913" max="6913" width="3.28515625" style="59" customWidth="1"/>
    <col min="6914" max="6914" width="6.42578125" style="59" customWidth="1"/>
    <col min="6915" max="6915" width="10.140625" style="59" customWidth="1"/>
    <col min="6916" max="6916" width="5.140625" style="59" customWidth="1"/>
    <col min="6917" max="6917" width="6.85546875" style="59" customWidth="1"/>
    <col min="6918" max="6918" width="11.85546875" style="59" customWidth="1"/>
    <col min="6919" max="6919" width="10.5703125" style="59" customWidth="1"/>
    <col min="6920" max="6920" width="6.85546875" style="59" customWidth="1"/>
    <col min="6921" max="6921" width="11.5703125" style="59" customWidth="1"/>
    <col min="6922" max="6922" width="9.85546875" style="59" customWidth="1"/>
    <col min="6923" max="6923" width="6.42578125" style="59" customWidth="1"/>
    <col min="6924" max="6924" width="10.5703125" style="59" customWidth="1"/>
    <col min="6925" max="6925" width="11" style="59" customWidth="1"/>
    <col min="6926" max="6926" width="5.85546875" style="59" customWidth="1"/>
    <col min="6927" max="6927" width="10.7109375" style="59" customWidth="1"/>
    <col min="6928" max="6928" width="10.85546875" style="59" customWidth="1"/>
    <col min="6929" max="6929" width="8.7109375" style="59" customWidth="1"/>
    <col min="6930" max="6930" width="10.7109375" style="59" customWidth="1"/>
    <col min="6931" max="6931" width="9.140625" style="59" customWidth="1"/>
    <col min="6932" max="7168" width="9.140625" style="59"/>
    <col min="7169" max="7169" width="3.28515625" style="59" customWidth="1"/>
    <col min="7170" max="7170" width="6.42578125" style="59" customWidth="1"/>
    <col min="7171" max="7171" width="10.140625" style="59" customWidth="1"/>
    <col min="7172" max="7172" width="5.140625" style="59" customWidth="1"/>
    <col min="7173" max="7173" width="6.85546875" style="59" customWidth="1"/>
    <col min="7174" max="7174" width="11.85546875" style="59" customWidth="1"/>
    <col min="7175" max="7175" width="10.5703125" style="59" customWidth="1"/>
    <col min="7176" max="7176" width="6.85546875" style="59" customWidth="1"/>
    <col min="7177" max="7177" width="11.5703125" style="59" customWidth="1"/>
    <col min="7178" max="7178" width="9.85546875" style="59" customWidth="1"/>
    <col min="7179" max="7179" width="6.42578125" style="59" customWidth="1"/>
    <col min="7180" max="7180" width="10.5703125" style="59" customWidth="1"/>
    <col min="7181" max="7181" width="11" style="59" customWidth="1"/>
    <col min="7182" max="7182" width="5.85546875" style="59" customWidth="1"/>
    <col min="7183" max="7183" width="10.7109375" style="59" customWidth="1"/>
    <col min="7184" max="7184" width="10.85546875" style="59" customWidth="1"/>
    <col min="7185" max="7185" width="8.7109375" style="59" customWidth="1"/>
    <col min="7186" max="7186" width="10.7109375" style="59" customWidth="1"/>
    <col min="7187" max="7187" width="9.140625" style="59" customWidth="1"/>
    <col min="7188" max="7424" width="9.140625" style="59"/>
    <col min="7425" max="7425" width="3.28515625" style="59" customWidth="1"/>
    <col min="7426" max="7426" width="6.42578125" style="59" customWidth="1"/>
    <col min="7427" max="7427" width="10.140625" style="59" customWidth="1"/>
    <col min="7428" max="7428" width="5.140625" style="59" customWidth="1"/>
    <col min="7429" max="7429" width="6.85546875" style="59" customWidth="1"/>
    <col min="7430" max="7430" width="11.85546875" style="59" customWidth="1"/>
    <col min="7431" max="7431" width="10.5703125" style="59" customWidth="1"/>
    <col min="7432" max="7432" width="6.85546875" style="59" customWidth="1"/>
    <col min="7433" max="7433" width="11.5703125" style="59" customWidth="1"/>
    <col min="7434" max="7434" width="9.85546875" style="59" customWidth="1"/>
    <col min="7435" max="7435" width="6.42578125" style="59" customWidth="1"/>
    <col min="7436" max="7436" width="10.5703125" style="59" customWidth="1"/>
    <col min="7437" max="7437" width="11" style="59" customWidth="1"/>
    <col min="7438" max="7438" width="5.85546875" style="59" customWidth="1"/>
    <col min="7439" max="7439" width="10.7109375" style="59" customWidth="1"/>
    <col min="7440" max="7440" width="10.85546875" style="59" customWidth="1"/>
    <col min="7441" max="7441" width="8.7109375" style="59" customWidth="1"/>
    <col min="7442" max="7442" width="10.7109375" style="59" customWidth="1"/>
    <col min="7443" max="7443" width="9.140625" style="59" customWidth="1"/>
    <col min="7444" max="7680" width="9.140625" style="59"/>
    <col min="7681" max="7681" width="3.28515625" style="59" customWidth="1"/>
    <col min="7682" max="7682" width="6.42578125" style="59" customWidth="1"/>
    <col min="7683" max="7683" width="10.140625" style="59" customWidth="1"/>
    <col min="7684" max="7684" width="5.140625" style="59" customWidth="1"/>
    <col min="7685" max="7685" width="6.85546875" style="59" customWidth="1"/>
    <col min="7686" max="7686" width="11.85546875" style="59" customWidth="1"/>
    <col min="7687" max="7687" width="10.5703125" style="59" customWidth="1"/>
    <col min="7688" max="7688" width="6.85546875" style="59" customWidth="1"/>
    <col min="7689" max="7689" width="11.5703125" style="59" customWidth="1"/>
    <col min="7690" max="7690" width="9.85546875" style="59" customWidth="1"/>
    <col min="7691" max="7691" width="6.42578125" style="59" customWidth="1"/>
    <col min="7692" max="7692" width="10.5703125" style="59" customWidth="1"/>
    <col min="7693" max="7693" width="11" style="59" customWidth="1"/>
    <col min="7694" max="7694" width="5.85546875" style="59" customWidth="1"/>
    <col min="7695" max="7695" width="10.7109375" style="59" customWidth="1"/>
    <col min="7696" max="7696" width="10.85546875" style="59" customWidth="1"/>
    <col min="7697" max="7697" width="8.7109375" style="59" customWidth="1"/>
    <col min="7698" max="7698" width="10.7109375" style="59" customWidth="1"/>
    <col min="7699" max="7699" width="9.140625" style="59" customWidth="1"/>
    <col min="7700" max="7936" width="9.140625" style="59"/>
    <col min="7937" max="7937" width="3.28515625" style="59" customWidth="1"/>
    <col min="7938" max="7938" width="6.42578125" style="59" customWidth="1"/>
    <col min="7939" max="7939" width="10.140625" style="59" customWidth="1"/>
    <col min="7940" max="7940" width="5.140625" style="59" customWidth="1"/>
    <col min="7941" max="7941" width="6.85546875" style="59" customWidth="1"/>
    <col min="7942" max="7942" width="11.85546875" style="59" customWidth="1"/>
    <col min="7943" max="7943" width="10.5703125" style="59" customWidth="1"/>
    <col min="7944" max="7944" width="6.85546875" style="59" customWidth="1"/>
    <col min="7945" max="7945" width="11.5703125" style="59" customWidth="1"/>
    <col min="7946" max="7946" width="9.85546875" style="59" customWidth="1"/>
    <col min="7947" max="7947" width="6.42578125" style="59" customWidth="1"/>
    <col min="7948" max="7948" width="10.5703125" style="59" customWidth="1"/>
    <col min="7949" max="7949" width="11" style="59" customWidth="1"/>
    <col min="7950" max="7950" width="5.85546875" style="59" customWidth="1"/>
    <col min="7951" max="7951" width="10.7109375" style="59" customWidth="1"/>
    <col min="7952" max="7952" width="10.85546875" style="59" customWidth="1"/>
    <col min="7953" max="7953" width="8.7109375" style="59" customWidth="1"/>
    <col min="7954" max="7954" width="10.7109375" style="59" customWidth="1"/>
    <col min="7955" max="7955" width="9.140625" style="59" customWidth="1"/>
    <col min="7956" max="8192" width="9.140625" style="59"/>
    <col min="8193" max="8193" width="3.28515625" style="59" customWidth="1"/>
    <col min="8194" max="8194" width="6.42578125" style="59" customWidth="1"/>
    <col min="8195" max="8195" width="10.140625" style="59" customWidth="1"/>
    <col min="8196" max="8196" width="5.140625" style="59" customWidth="1"/>
    <col min="8197" max="8197" width="6.85546875" style="59" customWidth="1"/>
    <col min="8198" max="8198" width="11.85546875" style="59" customWidth="1"/>
    <col min="8199" max="8199" width="10.5703125" style="59" customWidth="1"/>
    <col min="8200" max="8200" width="6.85546875" style="59" customWidth="1"/>
    <col min="8201" max="8201" width="11.5703125" style="59" customWidth="1"/>
    <col min="8202" max="8202" width="9.85546875" style="59" customWidth="1"/>
    <col min="8203" max="8203" width="6.42578125" style="59" customWidth="1"/>
    <col min="8204" max="8204" width="10.5703125" style="59" customWidth="1"/>
    <col min="8205" max="8205" width="11" style="59" customWidth="1"/>
    <col min="8206" max="8206" width="5.85546875" style="59" customWidth="1"/>
    <col min="8207" max="8207" width="10.7109375" style="59" customWidth="1"/>
    <col min="8208" max="8208" width="10.85546875" style="59" customWidth="1"/>
    <col min="8209" max="8209" width="8.7109375" style="59" customWidth="1"/>
    <col min="8210" max="8210" width="10.7109375" style="59" customWidth="1"/>
    <col min="8211" max="8211" width="9.140625" style="59" customWidth="1"/>
    <col min="8212" max="8448" width="9.140625" style="59"/>
    <col min="8449" max="8449" width="3.28515625" style="59" customWidth="1"/>
    <col min="8450" max="8450" width="6.42578125" style="59" customWidth="1"/>
    <col min="8451" max="8451" width="10.140625" style="59" customWidth="1"/>
    <col min="8452" max="8452" width="5.140625" style="59" customWidth="1"/>
    <col min="8453" max="8453" width="6.85546875" style="59" customWidth="1"/>
    <col min="8454" max="8454" width="11.85546875" style="59" customWidth="1"/>
    <col min="8455" max="8455" width="10.5703125" style="59" customWidth="1"/>
    <col min="8456" max="8456" width="6.85546875" style="59" customWidth="1"/>
    <col min="8457" max="8457" width="11.5703125" style="59" customWidth="1"/>
    <col min="8458" max="8458" width="9.85546875" style="59" customWidth="1"/>
    <col min="8459" max="8459" width="6.42578125" style="59" customWidth="1"/>
    <col min="8460" max="8460" width="10.5703125" style="59" customWidth="1"/>
    <col min="8461" max="8461" width="11" style="59" customWidth="1"/>
    <col min="8462" max="8462" width="5.85546875" style="59" customWidth="1"/>
    <col min="8463" max="8463" width="10.7109375" style="59" customWidth="1"/>
    <col min="8464" max="8464" width="10.85546875" style="59" customWidth="1"/>
    <col min="8465" max="8465" width="8.7109375" style="59" customWidth="1"/>
    <col min="8466" max="8466" width="10.7109375" style="59" customWidth="1"/>
    <col min="8467" max="8467" width="9.140625" style="59" customWidth="1"/>
    <col min="8468" max="8704" width="9.140625" style="59"/>
    <col min="8705" max="8705" width="3.28515625" style="59" customWidth="1"/>
    <col min="8706" max="8706" width="6.42578125" style="59" customWidth="1"/>
    <col min="8707" max="8707" width="10.140625" style="59" customWidth="1"/>
    <col min="8708" max="8708" width="5.140625" style="59" customWidth="1"/>
    <col min="8709" max="8709" width="6.85546875" style="59" customWidth="1"/>
    <col min="8710" max="8710" width="11.85546875" style="59" customWidth="1"/>
    <col min="8711" max="8711" width="10.5703125" style="59" customWidth="1"/>
    <col min="8712" max="8712" width="6.85546875" style="59" customWidth="1"/>
    <col min="8713" max="8713" width="11.5703125" style="59" customWidth="1"/>
    <col min="8714" max="8714" width="9.85546875" style="59" customWidth="1"/>
    <col min="8715" max="8715" width="6.42578125" style="59" customWidth="1"/>
    <col min="8716" max="8716" width="10.5703125" style="59" customWidth="1"/>
    <col min="8717" max="8717" width="11" style="59" customWidth="1"/>
    <col min="8718" max="8718" width="5.85546875" style="59" customWidth="1"/>
    <col min="8719" max="8719" width="10.7109375" style="59" customWidth="1"/>
    <col min="8720" max="8720" width="10.85546875" style="59" customWidth="1"/>
    <col min="8721" max="8721" width="8.7109375" style="59" customWidth="1"/>
    <col min="8722" max="8722" width="10.7109375" style="59" customWidth="1"/>
    <col min="8723" max="8723" width="9.140625" style="59" customWidth="1"/>
    <col min="8724" max="8960" width="9.140625" style="59"/>
    <col min="8961" max="8961" width="3.28515625" style="59" customWidth="1"/>
    <col min="8962" max="8962" width="6.42578125" style="59" customWidth="1"/>
    <col min="8963" max="8963" width="10.140625" style="59" customWidth="1"/>
    <col min="8964" max="8964" width="5.140625" style="59" customWidth="1"/>
    <col min="8965" max="8965" width="6.85546875" style="59" customWidth="1"/>
    <col min="8966" max="8966" width="11.85546875" style="59" customWidth="1"/>
    <col min="8967" max="8967" width="10.5703125" style="59" customWidth="1"/>
    <col min="8968" max="8968" width="6.85546875" style="59" customWidth="1"/>
    <col min="8969" max="8969" width="11.5703125" style="59" customWidth="1"/>
    <col min="8970" max="8970" width="9.85546875" style="59" customWidth="1"/>
    <col min="8971" max="8971" width="6.42578125" style="59" customWidth="1"/>
    <col min="8972" max="8972" width="10.5703125" style="59" customWidth="1"/>
    <col min="8973" max="8973" width="11" style="59" customWidth="1"/>
    <col min="8974" max="8974" width="5.85546875" style="59" customWidth="1"/>
    <col min="8975" max="8975" width="10.7109375" style="59" customWidth="1"/>
    <col min="8976" max="8976" width="10.85546875" style="59" customWidth="1"/>
    <col min="8977" max="8977" width="8.7109375" style="59" customWidth="1"/>
    <col min="8978" max="8978" width="10.7109375" style="59" customWidth="1"/>
    <col min="8979" max="8979" width="9.140625" style="59" customWidth="1"/>
    <col min="8980" max="9216" width="9.140625" style="59"/>
    <col min="9217" max="9217" width="3.28515625" style="59" customWidth="1"/>
    <col min="9218" max="9218" width="6.42578125" style="59" customWidth="1"/>
    <col min="9219" max="9219" width="10.140625" style="59" customWidth="1"/>
    <col min="9220" max="9220" width="5.140625" style="59" customWidth="1"/>
    <col min="9221" max="9221" width="6.85546875" style="59" customWidth="1"/>
    <col min="9222" max="9222" width="11.85546875" style="59" customWidth="1"/>
    <col min="9223" max="9223" width="10.5703125" style="59" customWidth="1"/>
    <col min="9224" max="9224" width="6.85546875" style="59" customWidth="1"/>
    <col min="9225" max="9225" width="11.5703125" style="59" customWidth="1"/>
    <col min="9226" max="9226" width="9.85546875" style="59" customWidth="1"/>
    <col min="9227" max="9227" width="6.42578125" style="59" customWidth="1"/>
    <col min="9228" max="9228" width="10.5703125" style="59" customWidth="1"/>
    <col min="9229" max="9229" width="11" style="59" customWidth="1"/>
    <col min="9230" max="9230" width="5.85546875" style="59" customWidth="1"/>
    <col min="9231" max="9231" width="10.7109375" style="59" customWidth="1"/>
    <col min="9232" max="9232" width="10.85546875" style="59" customWidth="1"/>
    <col min="9233" max="9233" width="8.7109375" style="59" customWidth="1"/>
    <col min="9234" max="9234" width="10.7109375" style="59" customWidth="1"/>
    <col min="9235" max="9235" width="9.140625" style="59" customWidth="1"/>
    <col min="9236" max="9472" width="9.140625" style="59"/>
    <col min="9473" max="9473" width="3.28515625" style="59" customWidth="1"/>
    <col min="9474" max="9474" width="6.42578125" style="59" customWidth="1"/>
    <col min="9475" max="9475" width="10.140625" style="59" customWidth="1"/>
    <col min="9476" max="9476" width="5.140625" style="59" customWidth="1"/>
    <col min="9477" max="9477" width="6.85546875" style="59" customWidth="1"/>
    <col min="9478" max="9478" width="11.85546875" style="59" customWidth="1"/>
    <col min="9479" max="9479" width="10.5703125" style="59" customWidth="1"/>
    <col min="9480" max="9480" width="6.85546875" style="59" customWidth="1"/>
    <col min="9481" max="9481" width="11.5703125" style="59" customWidth="1"/>
    <col min="9482" max="9482" width="9.85546875" style="59" customWidth="1"/>
    <col min="9483" max="9483" width="6.42578125" style="59" customWidth="1"/>
    <col min="9484" max="9484" width="10.5703125" style="59" customWidth="1"/>
    <col min="9485" max="9485" width="11" style="59" customWidth="1"/>
    <col min="9486" max="9486" width="5.85546875" style="59" customWidth="1"/>
    <col min="9487" max="9487" width="10.7109375" style="59" customWidth="1"/>
    <col min="9488" max="9488" width="10.85546875" style="59" customWidth="1"/>
    <col min="9489" max="9489" width="8.7109375" style="59" customWidth="1"/>
    <col min="9490" max="9490" width="10.7109375" style="59" customWidth="1"/>
    <col min="9491" max="9491" width="9.140625" style="59" customWidth="1"/>
    <col min="9492" max="9728" width="9.140625" style="59"/>
    <col min="9729" max="9729" width="3.28515625" style="59" customWidth="1"/>
    <col min="9730" max="9730" width="6.42578125" style="59" customWidth="1"/>
    <col min="9731" max="9731" width="10.140625" style="59" customWidth="1"/>
    <col min="9732" max="9732" width="5.140625" style="59" customWidth="1"/>
    <col min="9733" max="9733" width="6.85546875" style="59" customWidth="1"/>
    <col min="9734" max="9734" width="11.85546875" style="59" customWidth="1"/>
    <col min="9735" max="9735" width="10.5703125" style="59" customWidth="1"/>
    <col min="9736" max="9736" width="6.85546875" style="59" customWidth="1"/>
    <col min="9737" max="9737" width="11.5703125" style="59" customWidth="1"/>
    <col min="9738" max="9738" width="9.85546875" style="59" customWidth="1"/>
    <col min="9739" max="9739" width="6.42578125" style="59" customWidth="1"/>
    <col min="9740" max="9740" width="10.5703125" style="59" customWidth="1"/>
    <col min="9741" max="9741" width="11" style="59" customWidth="1"/>
    <col min="9742" max="9742" width="5.85546875" style="59" customWidth="1"/>
    <col min="9743" max="9743" width="10.7109375" style="59" customWidth="1"/>
    <col min="9744" max="9744" width="10.85546875" style="59" customWidth="1"/>
    <col min="9745" max="9745" width="8.7109375" style="59" customWidth="1"/>
    <col min="9746" max="9746" width="10.7109375" style="59" customWidth="1"/>
    <col min="9747" max="9747" width="9.140625" style="59" customWidth="1"/>
    <col min="9748" max="9984" width="9.140625" style="59"/>
    <col min="9985" max="9985" width="3.28515625" style="59" customWidth="1"/>
    <col min="9986" max="9986" width="6.42578125" style="59" customWidth="1"/>
    <col min="9987" max="9987" width="10.140625" style="59" customWidth="1"/>
    <col min="9988" max="9988" width="5.140625" style="59" customWidth="1"/>
    <col min="9989" max="9989" width="6.85546875" style="59" customWidth="1"/>
    <col min="9990" max="9990" width="11.85546875" style="59" customWidth="1"/>
    <col min="9991" max="9991" width="10.5703125" style="59" customWidth="1"/>
    <col min="9992" max="9992" width="6.85546875" style="59" customWidth="1"/>
    <col min="9993" max="9993" width="11.5703125" style="59" customWidth="1"/>
    <col min="9994" max="9994" width="9.85546875" style="59" customWidth="1"/>
    <col min="9995" max="9995" width="6.42578125" style="59" customWidth="1"/>
    <col min="9996" max="9996" width="10.5703125" style="59" customWidth="1"/>
    <col min="9997" max="9997" width="11" style="59" customWidth="1"/>
    <col min="9998" max="9998" width="5.85546875" style="59" customWidth="1"/>
    <col min="9999" max="9999" width="10.7109375" style="59" customWidth="1"/>
    <col min="10000" max="10000" width="10.85546875" style="59" customWidth="1"/>
    <col min="10001" max="10001" width="8.7109375" style="59" customWidth="1"/>
    <col min="10002" max="10002" width="10.7109375" style="59" customWidth="1"/>
    <col min="10003" max="10003" width="9.140625" style="59" customWidth="1"/>
    <col min="10004" max="10240" width="9.140625" style="59"/>
    <col min="10241" max="10241" width="3.28515625" style="59" customWidth="1"/>
    <col min="10242" max="10242" width="6.42578125" style="59" customWidth="1"/>
    <col min="10243" max="10243" width="10.140625" style="59" customWidth="1"/>
    <col min="10244" max="10244" width="5.140625" style="59" customWidth="1"/>
    <col min="10245" max="10245" width="6.85546875" style="59" customWidth="1"/>
    <col min="10246" max="10246" width="11.85546875" style="59" customWidth="1"/>
    <col min="10247" max="10247" width="10.5703125" style="59" customWidth="1"/>
    <col min="10248" max="10248" width="6.85546875" style="59" customWidth="1"/>
    <col min="10249" max="10249" width="11.5703125" style="59" customWidth="1"/>
    <col min="10250" max="10250" width="9.85546875" style="59" customWidth="1"/>
    <col min="10251" max="10251" width="6.42578125" style="59" customWidth="1"/>
    <col min="10252" max="10252" width="10.5703125" style="59" customWidth="1"/>
    <col min="10253" max="10253" width="11" style="59" customWidth="1"/>
    <col min="10254" max="10254" width="5.85546875" style="59" customWidth="1"/>
    <col min="10255" max="10255" width="10.7109375" style="59" customWidth="1"/>
    <col min="10256" max="10256" width="10.85546875" style="59" customWidth="1"/>
    <col min="10257" max="10257" width="8.7109375" style="59" customWidth="1"/>
    <col min="10258" max="10258" width="10.7109375" style="59" customWidth="1"/>
    <col min="10259" max="10259" width="9.140625" style="59" customWidth="1"/>
    <col min="10260" max="10496" width="9.140625" style="59"/>
    <col min="10497" max="10497" width="3.28515625" style="59" customWidth="1"/>
    <col min="10498" max="10498" width="6.42578125" style="59" customWidth="1"/>
    <col min="10499" max="10499" width="10.140625" style="59" customWidth="1"/>
    <col min="10500" max="10500" width="5.140625" style="59" customWidth="1"/>
    <col min="10501" max="10501" width="6.85546875" style="59" customWidth="1"/>
    <col min="10502" max="10502" width="11.85546875" style="59" customWidth="1"/>
    <col min="10503" max="10503" width="10.5703125" style="59" customWidth="1"/>
    <col min="10504" max="10504" width="6.85546875" style="59" customWidth="1"/>
    <col min="10505" max="10505" width="11.5703125" style="59" customWidth="1"/>
    <col min="10506" max="10506" width="9.85546875" style="59" customWidth="1"/>
    <col min="10507" max="10507" width="6.42578125" style="59" customWidth="1"/>
    <col min="10508" max="10508" width="10.5703125" style="59" customWidth="1"/>
    <col min="10509" max="10509" width="11" style="59" customWidth="1"/>
    <col min="10510" max="10510" width="5.85546875" style="59" customWidth="1"/>
    <col min="10511" max="10511" width="10.7109375" style="59" customWidth="1"/>
    <col min="10512" max="10512" width="10.85546875" style="59" customWidth="1"/>
    <col min="10513" max="10513" width="8.7109375" style="59" customWidth="1"/>
    <col min="10514" max="10514" width="10.7109375" style="59" customWidth="1"/>
    <col min="10515" max="10515" width="9.140625" style="59" customWidth="1"/>
    <col min="10516" max="10752" width="9.140625" style="59"/>
    <col min="10753" max="10753" width="3.28515625" style="59" customWidth="1"/>
    <col min="10754" max="10754" width="6.42578125" style="59" customWidth="1"/>
    <col min="10755" max="10755" width="10.140625" style="59" customWidth="1"/>
    <col min="10756" max="10756" width="5.140625" style="59" customWidth="1"/>
    <col min="10757" max="10757" width="6.85546875" style="59" customWidth="1"/>
    <col min="10758" max="10758" width="11.85546875" style="59" customWidth="1"/>
    <col min="10759" max="10759" width="10.5703125" style="59" customWidth="1"/>
    <col min="10760" max="10760" width="6.85546875" style="59" customWidth="1"/>
    <col min="10761" max="10761" width="11.5703125" style="59" customWidth="1"/>
    <col min="10762" max="10762" width="9.85546875" style="59" customWidth="1"/>
    <col min="10763" max="10763" width="6.42578125" style="59" customWidth="1"/>
    <col min="10764" max="10764" width="10.5703125" style="59" customWidth="1"/>
    <col min="10765" max="10765" width="11" style="59" customWidth="1"/>
    <col min="10766" max="10766" width="5.85546875" style="59" customWidth="1"/>
    <col min="10767" max="10767" width="10.7109375" style="59" customWidth="1"/>
    <col min="10768" max="10768" width="10.85546875" style="59" customWidth="1"/>
    <col min="10769" max="10769" width="8.7109375" style="59" customWidth="1"/>
    <col min="10770" max="10770" width="10.7109375" style="59" customWidth="1"/>
    <col min="10771" max="10771" width="9.140625" style="59" customWidth="1"/>
    <col min="10772" max="11008" width="9.140625" style="59"/>
    <col min="11009" max="11009" width="3.28515625" style="59" customWidth="1"/>
    <col min="11010" max="11010" width="6.42578125" style="59" customWidth="1"/>
    <col min="11011" max="11011" width="10.140625" style="59" customWidth="1"/>
    <col min="11012" max="11012" width="5.140625" style="59" customWidth="1"/>
    <col min="11013" max="11013" width="6.85546875" style="59" customWidth="1"/>
    <col min="11014" max="11014" width="11.85546875" style="59" customWidth="1"/>
    <col min="11015" max="11015" width="10.5703125" style="59" customWidth="1"/>
    <col min="11016" max="11016" width="6.85546875" style="59" customWidth="1"/>
    <col min="11017" max="11017" width="11.5703125" style="59" customWidth="1"/>
    <col min="11018" max="11018" width="9.85546875" style="59" customWidth="1"/>
    <col min="11019" max="11019" width="6.42578125" style="59" customWidth="1"/>
    <col min="11020" max="11020" width="10.5703125" style="59" customWidth="1"/>
    <col min="11021" max="11021" width="11" style="59" customWidth="1"/>
    <col min="11022" max="11022" width="5.85546875" style="59" customWidth="1"/>
    <col min="11023" max="11023" width="10.7109375" style="59" customWidth="1"/>
    <col min="11024" max="11024" width="10.85546875" style="59" customWidth="1"/>
    <col min="11025" max="11025" width="8.7109375" style="59" customWidth="1"/>
    <col min="11026" max="11026" width="10.7109375" style="59" customWidth="1"/>
    <col min="11027" max="11027" width="9.140625" style="59" customWidth="1"/>
    <col min="11028" max="11264" width="9.140625" style="59"/>
    <col min="11265" max="11265" width="3.28515625" style="59" customWidth="1"/>
    <col min="11266" max="11266" width="6.42578125" style="59" customWidth="1"/>
    <col min="11267" max="11267" width="10.140625" style="59" customWidth="1"/>
    <col min="11268" max="11268" width="5.140625" style="59" customWidth="1"/>
    <col min="11269" max="11269" width="6.85546875" style="59" customWidth="1"/>
    <col min="11270" max="11270" width="11.85546875" style="59" customWidth="1"/>
    <col min="11271" max="11271" width="10.5703125" style="59" customWidth="1"/>
    <col min="11272" max="11272" width="6.85546875" style="59" customWidth="1"/>
    <col min="11273" max="11273" width="11.5703125" style="59" customWidth="1"/>
    <col min="11274" max="11274" width="9.85546875" style="59" customWidth="1"/>
    <col min="11275" max="11275" width="6.42578125" style="59" customWidth="1"/>
    <col min="11276" max="11276" width="10.5703125" style="59" customWidth="1"/>
    <col min="11277" max="11277" width="11" style="59" customWidth="1"/>
    <col min="11278" max="11278" width="5.85546875" style="59" customWidth="1"/>
    <col min="11279" max="11279" width="10.7109375" style="59" customWidth="1"/>
    <col min="11280" max="11280" width="10.85546875" style="59" customWidth="1"/>
    <col min="11281" max="11281" width="8.7109375" style="59" customWidth="1"/>
    <col min="11282" max="11282" width="10.7109375" style="59" customWidth="1"/>
    <col min="11283" max="11283" width="9.140625" style="59" customWidth="1"/>
    <col min="11284" max="11520" width="9.140625" style="59"/>
    <col min="11521" max="11521" width="3.28515625" style="59" customWidth="1"/>
    <col min="11522" max="11522" width="6.42578125" style="59" customWidth="1"/>
    <col min="11523" max="11523" width="10.140625" style="59" customWidth="1"/>
    <col min="11524" max="11524" width="5.140625" style="59" customWidth="1"/>
    <col min="11525" max="11525" width="6.85546875" style="59" customWidth="1"/>
    <col min="11526" max="11526" width="11.85546875" style="59" customWidth="1"/>
    <col min="11527" max="11527" width="10.5703125" style="59" customWidth="1"/>
    <col min="11528" max="11528" width="6.85546875" style="59" customWidth="1"/>
    <col min="11529" max="11529" width="11.5703125" style="59" customWidth="1"/>
    <col min="11530" max="11530" width="9.85546875" style="59" customWidth="1"/>
    <col min="11531" max="11531" width="6.42578125" style="59" customWidth="1"/>
    <col min="11532" max="11532" width="10.5703125" style="59" customWidth="1"/>
    <col min="11533" max="11533" width="11" style="59" customWidth="1"/>
    <col min="11534" max="11534" width="5.85546875" style="59" customWidth="1"/>
    <col min="11535" max="11535" width="10.7109375" style="59" customWidth="1"/>
    <col min="11536" max="11536" width="10.85546875" style="59" customWidth="1"/>
    <col min="11537" max="11537" width="8.7109375" style="59" customWidth="1"/>
    <col min="11538" max="11538" width="10.7109375" style="59" customWidth="1"/>
    <col min="11539" max="11539" width="9.140625" style="59" customWidth="1"/>
    <col min="11540" max="11776" width="9.140625" style="59"/>
    <col min="11777" max="11777" width="3.28515625" style="59" customWidth="1"/>
    <col min="11778" max="11778" width="6.42578125" style="59" customWidth="1"/>
    <col min="11779" max="11779" width="10.140625" style="59" customWidth="1"/>
    <col min="11780" max="11780" width="5.140625" style="59" customWidth="1"/>
    <col min="11781" max="11781" width="6.85546875" style="59" customWidth="1"/>
    <col min="11782" max="11782" width="11.85546875" style="59" customWidth="1"/>
    <col min="11783" max="11783" width="10.5703125" style="59" customWidth="1"/>
    <col min="11784" max="11784" width="6.85546875" style="59" customWidth="1"/>
    <col min="11785" max="11785" width="11.5703125" style="59" customWidth="1"/>
    <col min="11786" max="11786" width="9.85546875" style="59" customWidth="1"/>
    <col min="11787" max="11787" width="6.42578125" style="59" customWidth="1"/>
    <col min="11788" max="11788" width="10.5703125" style="59" customWidth="1"/>
    <col min="11789" max="11789" width="11" style="59" customWidth="1"/>
    <col min="11790" max="11790" width="5.85546875" style="59" customWidth="1"/>
    <col min="11791" max="11791" width="10.7109375" style="59" customWidth="1"/>
    <col min="11792" max="11792" width="10.85546875" style="59" customWidth="1"/>
    <col min="11793" max="11793" width="8.7109375" style="59" customWidth="1"/>
    <col min="11794" max="11794" width="10.7109375" style="59" customWidth="1"/>
    <col min="11795" max="11795" width="9.140625" style="59" customWidth="1"/>
    <col min="11796" max="12032" width="9.140625" style="59"/>
    <col min="12033" max="12033" width="3.28515625" style="59" customWidth="1"/>
    <col min="12034" max="12034" width="6.42578125" style="59" customWidth="1"/>
    <col min="12035" max="12035" width="10.140625" style="59" customWidth="1"/>
    <col min="12036" max="12036" width="5.140625" style="59" customWidth="1"/>
    <col min="12037" max="12037" width="6.85546875" style="59" customWidth="1"/>
    <col min="12038" max="12038" width="11.85546875" style="59" customWidth="1"/>
    <col min="12039" max="12039" width="10.5703125" style="59" customWidth="1"/>
    <col min="12040" max="12040" width="6.85546875" style="59" customWidth="1"/>
    <col min="12041" max="12041" width="11.5703125" style="59" customWidth="1"/>
    <col min="12042" max="12042" width="9.85546875" style="59" customWidth="1"/>
    <col min="12043" max="12043" width="6.42578125" style="59" customWidth="1"/>
    <col min="12044" max="12044" width="10.5703125" style="59" customWidth="1"/>
    <col min="12045" max="12045" width="11" style="59" customWidth="1"/>
    <col min="12046" max="12046" width="5.85546875" style="59" customWidth="1"/>
    <col min="12047" max="12047" width="10.7109375" style="59" customWidth="1"/>
    <col min="12048" max="12048" width="10.85546875" style="59" customWidth="1"/>
    <col min="12049" max="12049" width="8.7109375" style="59" customWidth="1"/>
    <col min="12050" max="12050" width="10.7109375" style="59" customWidth="1"/>
    <col min="12051" max="12051" width="9.140625" style="59" customWidth="1"/>
    <col min="12052" max="12288" width="9.140625" style="59"/>
    <col min="12289" max="12289" width="3.28515625" style="59" customWidth="1"/>
    <col min="12290" max="12290" width="6.42578125" style="59" customWidth="1"/>
    <col min="12291" max="12291" width="10.140625" style="59" customWidth="1"/>
    <col min="12292" max="12292" width="5.140625" style="59" customWidth="1"/>
    <col min="12293" max="12293" width="6.85546875" style="59" customWidth="1"/>
    <col min="12294" max="12294" width="11.85546875" style="59" customWidth="1"/>
    <col min="12295" max="12295" width="10.5703125" style="59" customWidth="1"/>
    <col min="12296" max="12296" width="6.85546875" style="59" customWidth="1"/>
    <col min="12297" max="12297" width="11.5703125" style="59" customWidth="1"/>
    <col min="12298" max="12298" width="9.85546875" style="59" customWidth="1"/>
    <col min="12299" max="12299" width="6.42578125" style="59" customWidth="1"/>
    <col min="12300" max="12300" width="10.5703125" style="59" customWidth="1"/>
    <col min="12301" max="12301" width="11" style="59" customWidth="1"/>
    <col min="12302" max="12302" width="5.85546875" style="59" customWidth="1"/>
    <col min="12303" max="12303" width="10.7109375" style="59" customWidth="1"/>
    <col min="12304" max="12304" width="10.85546875" style="59" customWidth="1"/>
    <col min="12305" max="12305" width="8.7109375" style="59" customWidth="1"/>
    <col min="12306" max="12306" width="10.7109375" style="59" customWidth="1"/>
    <col min="12307" max="12307" width="9.140625" style="59" customWidth="1"/>
    <col min="12308" max="12544" width="9.140625" style="59"/>
    <col min="12545" max="12545" width="3.28515625" style="59" customWidth="1"/>
    <col min="12546" max="12546" width="6.42578125" style="59" customWidth="1"/>
    <col min="12547" max="12547" width="10.140625" style="59" customWidth="1"/>
    <col min="12548" max="12548" width="5.140625" style="59" customWidth="1"/>
    <col min="12549" max="12549" width="6.85546875" style="59" customWidth="1"/>
    <col min="12550" max="12550" width="11.85546875" style="59" customWidth="1"/>
    <col min="12551" max="12551" width="10.5703125" style="59" customWidth="1"/>
    <col min="12552" max="12552" width="6.85546875" style="59" customWidth="1"/>
    <col min="12553" max="12553" width="11.5703125" style="59" customWidth="1"/>
    <col min="12554" max="12554" width="9.85546875" style="59" customWidth="1"/>
    <col min="12555" max="12555" width="6.42578125" style="59" customWidth="1"/>
    <col min="12556" max="12556" width="10.5703125" style="59" customWidth="1"/>
    <col min="12557" max="12557" width="11" style="59" customWidth="1"/>
    <col min="12558" max="12558" width="5.85546875" style="59" customWidth="1"/>
    <col min="12559" max="12559" width="10.7109375" style="59" customWidth="1"/>
    <col min="12560" max="12560" width="10.85546875" style="59" customWidth="1"/>
    <col min="12561" max="12561" width="8.7109375" style="59" customWidth="1"/>
    <col min="12562" max="12562" width="10.7109375" style="59" customWidth="1"/>
    <col min="12563" max="12563" width="9.140625" style="59" customWidth="1"/>
    <col min="12564" max="12800" width="9.140625" style="59"/>
    <col min="12801" max="12801" width="3.28515625" style="59" customWidth="1"/>
    <col min="12802" max="12802" width="6.42578125" style="59" customWidth="1"/>
    <col min="12803" max="12803" width="10.140625" style="59" customWidth="1"/>
    <col min="12804" max="12804" width="5.140625" style="59" customWidth="1"/>
    <col min="12805" max="12805" width="6.85546875" style="59" customWidth="1"/>
    <col min="12806" max="12806" width="11.85546875" style="59" customWidth="1"/>
    <col min="12807" max="12807" width="10.5703125" style="59" customWidth="1"/>
    <col min="12808" max="12808" width="6.85546875" style="59" customWidth="1"/>
    <col min="12809" max="12809" width="11.5703125" style="59" customWidth="1"/>
    <col min="12810" max="12810" width="9.85546875" style="59" customWidth="1"/>
    <col min="12811" max="12811" width="6.42578125" style="59" customWidth="1"/>
    <col min="12812" max="12812" width="10.5703125" style="59" customWidth="1"/>
    <col min="12813" max="12813" width="11" style="59" customWidth="1"/>
    <col min="12814" max="12814" width="5.85546875" style="59" customWidth="1"/>
    <col min="12815" max="12815" width="10.7109375" style="59" customWidth="1"/>
    <col min="12816" max="12816" width="10.85546875" style="59" customWidth="1"/>
    <col min="12817" max="12817" width="8.7109375" style="59" customWidth="1"/>
    <col min="12818" max="12818" width="10.7109375" style="59" customWidth="1"/>
    <col min="12819" max="12819" width="9.140625" style="59" customWidth="1"/>
    <col min="12820" max="13056" width="9.140625" style="59"/>
    <col min="13057" max="13057" width="3.28515625" style="59" customWidth="1"/>
    <col min="13058" max="13058" width="6.42578125" style="59" customWidth="1"/>
    <col min="13059" max="13059" width="10.140625" style="59" customWidth="1"/>
    <col min="13060" max="13060" width="5.140625" style="59" customWidth="1"/>
    <col min="13061" max="13061" width="6.85546875" style="59" customWidth="1"/>
    <col min="13062" max="13062" width="11.85546875" style="59" customWidth="1"/>
    <col min="13063" max="13063" width="10.5703125" style="59" customWidth="1"/>
    <col min="13064" max="13064" width="6.85546875" style="59" customWidth="1"/>
    <col min="13065" max="13065" width="11.5703125" style="59" customWidth="1"/>
    <col min="13066" max="13066" width="9.85546875" style="59" customWidth="1"/>
    <col min="13067" max="13067" width="6.42578125" style="59" customWidth="1"/>
    <col min="13068" max="13068" width="10.5703125" style="59" customWidth="1"/>
    <col min="13069" max="13069" width="11" style="59" customWidth="1"/>
    <col min="13070" max="13070" width="5.85546875" style="59" customWidth="1"/>
    <col min="13071" max="13071" width="10.7109375" style="59" customWidth="1"/>
    <col min="13072" max="13072" width="10.85546875" style="59" customWidth="1"/>
    <col min="13073" max="13073" width="8.7109375" style="59" customWidth="1"/>
    <col min="13074" max="13074" width="10.7109375" style="59" customWidth="1"/>
    <col min="13075" max="13075" width="9.140625" style="59" customWidth="1"/>
    <col min="13076" max="13312" width="9.140625" style="59"/>
    <col min="13313" max="13313" width="3.28515625" style="59" customWidth="1"/>
    <col min="13314" max="13314" width="6.42578125" style="59" customWidth="1"/>
    <col min="13315" max="13315" width="10.140625" style="59" customWidth="1"/>
    <col min="13316" max="13316" width="5.140625" style="59" customWidth="1"/>
    <col min="13317" max="13317" width="6.85546875" style="59" customWidth="1"/>
    <col min="13318" max="13318" width="11.85546875" style="59" customWidth="1"/>
    <col min="13319" max="13319" width="10.5703125" style="59" customWidth="1"/>
    <col min="13320" max="13320" width="6.85546875" style="59" customWidth="1"/>
    <col min="13321" max="13321" width="11.5703125" style="59" customWidth="1"/>
    <col min="13322" max="13322" width="9.85546875" style="59" customWidth="1"/>
    <col min="13323" max="13323" width="6.42578125" style="59" customWidth="1"/>
    <col min="13324" max="13324" width="10.5703125" style="59" customWidth="1"/>
    <col min="13325" max="13325" width="11" style="59" customWidth="1"/>
    <col min="13326" max="13326" width="5.85546875" style="59" customWidth="1"/>
    <col min="13327" max="13327" width="10.7109375" style="59" customWidth="1"/>
    <col min="13328" max="13328" width="10.85546875" style="59" customWidth="1"/>
    <col min="13329" max="13329" width="8.7109375" style="59" customWidth="1"/>
    <col min="13330" max="13330" width="10.7109375" style="59" customWidth="1"/>
    <col min="13331" max="13331" width="9.140625" style="59" customWidth="1"/>
    <col min="13332" max="13568" width="9.140625" style="59"/>
    <col min="13569" max="13569" width="3.28515625" style="59" customWidth="1"/>
    <col min="13570" max="13570" width="6.42578125" style="59" customWidth="1"/>
    <col min="13571" max="13571" width="10.140625" style="59" customWidth="1"/>
    <col min="13572" max="13572" width="5.140625" style="59" customWidth="1"/>
    <col min="13573" max="13573" width="6.85546875" style="59" customWidth="1"/>
    <col min="13574" max="13574" width="11.85546875" style="59" customWidth="1"/>
    <col min="13575" max="13575" width="10.5703125" style="59" customWidth="1"/>
    <col min="13576" max="13576" width="6.85546875" style="59" customWidth="1"/>
    <col min="13577" max="13577" width="11.5703125" style="59" customWidth="1"/>
    <col min="13578" max="13578" width="9.85546875" style="59" customWidth="1"/>
    <col min="13579" max="13579" width="6.42578125" style="59" customWidth="1"/>
    <col min="13580" max="13580" width="10.5703125" style="59" customWidth="1"/>
    <col min="13581" max="13581" width="11" style="59" customWidth="1"/>
    <col min="13582" max="13582" width="5.85546875" style="59" customWidth="1"/>
    <col min="13583" max="13583" width="10.7109375" style="59" customWidth="1"/>
    <col min="13584" max="13584" width="10.85546875" style="59" customWidth="1"/>
    <col min="13585" max="13585" width="8.7109375" style="59" customWidth="1"/>
    <col min="13586" max="13586" width="10.7109375" style="59" customWidth="1"/>
    <col min="13587" max="13587" width="9.140625" style="59" customWidth="1"/>
    <col min="13588" max="13824" width="9.140625" style="59"/>
    <col min="13825" max="13825" width="3.28515625" style="59" customWidth="1"/>
    <col min="13826" max="13826" width="6.42578125" style="59" customWidth="1"/>
    <col min="13827" max="13827" width="10.140625" style="59" customWidth="1"/>
    <col min="13828" max="13828" width="5.140625" style="59" customWidth="1"/>
    <col min="13829" max="13829" width="6.85546875" style="59" customWidth="1"/>
    <col min="13830" max="13830" width="11.85546875" style="59" customWidth="1"/>
    <col min="13831" max="13831" width="10.5703125" style="59" customWidth="1"/>
    <col min="13832" max="13832" width="6.85546875" style="59" customWidth="1"/>
    <col min="13833" max="13833" width="11.5703125" style="59" customWidth="1"/>
    <col min="13834" max="13834" width="9.85546875" style="59" customWidth="1"/>
    <col min="13835" max="13835" width="6.42578125" style="59" customWidth="1"/>
    <col min="13836" max="13836" width="10.5703125" style="59" customWidth="1"/>
    <col min="13837" max="13837" width="11" style="59" customWidth="1"/>
    <col min="13838" max="13838" width="5.85546875" style="59" customWidth="1"/>
    <col min="13839" max="13839" width="10.7109375" style="59" customWidth="1"/>
    <col min="13840" max="13840" width="10.85546875" style="59" customWidth="1"/>
    <col min="13841" max="13841" width="8.7109375" style="59" customWidth="1"/>
    <col min="13842" max="13842" width="10.7109375" style="59" customWidth="1"/>
    <col min="13843" max="13843" width="9.140625" style="59" customWidth="1"/>
    <col min="13844" max="14080" width="9.140625" style="59"/>
    <col min="14081" max="14081" width="3.28515625" style="59" customWidth="1"/>
    <col min="14082" max="14082" width="6.42578125" style="59" customWidth="1"/>
    <col min="14083" max="14083" width="10.140625" style="59" customWidth="1"/>
    <col min="14084" max="14084" width="5.140625" style="59" customWidth="1"/>
    <col min="14085" max="14085" width="6.85546875" style="59" customWidth="1"/>
    <col min="14086" max="14086" width="11.85546875" style="59" customWidth="1"/>
    <col min="14087" max="14087" width="10.5703125" style="59" customWidth="1"/>
    <col min="14088" max="14088" width="6.85546875" style="59" customWidth="1"/>
    <col min="14089" max="14089" width="11.5703125" style="59" customWidth="1"/>
    <col min="14090" max="14090" width="9.85546875" style="59" customWidth="1"/>
    <col min="14091" max="14091" width="6.42578125" style="59" customWidth="1"/>
    <col min="14092" max="14092" width="10.5703125" style="59" customWidth="1"/>
    <col min="14093" max="14093" width="11" style="59" customWidth="1"/>
    <col min="14094" max="14094" width="5.85546875" style="59" customWidth="1"/>
    <col min="14095" max="14095" width="10.7109375" style="59" customWidth="1"/>
    <col min="14096" max="14096" width="10.85546875" style="59" customWidth="1"/>
    <col min="14097" max="14097" width="8.7109375" style="59" customWidth="1"/>
    <col min="14098" max="14098" width="10.7109375" style="59" customWidth="1"/>
    <col min="14099" max="14099" width="9.140625" style="59" customWidth="1"/>
    <col min="14100" max="14336" width="9.140625" style="59"/>
    <col min="14337" max="14337" width="3.28515625" style="59" customWidth="1"/>
    <col min="14338" max="14338" width="6.42578125" style="59" customWidth="1"/>
    <col min="14339" max="14339" width="10.140625" style="59" customWidth="1"/>
    <col min="14340" max="14340" width="5.140625" style="59" customWidth="1"/>
    <col min="14341" max="14341" width="6.85546875" style="59" customWidth="1"/>
    <col min="14342" max="14342" width="11.85546875" style="59" customWidth="1"/>
    <col min="14343" max="14343" width="10.5703125" style="59" customWidth="1"/>
    <col min="14344" max="14344" width="6.85546875" style="59" customWidth="1"/>
    <col min="14345" max="14345" width="11.5703125" style="59" customWidth="1"/>
    <col min="14346" max="14346" width="9.85546875" style="59" customWidth="1"/>
    <col min="14347" max="14347" width="6.42578125" style="59" customWidth="1"/>
    <col min="14348" max="14348" width="10.5703125" style="59" customWidth="1"/>
    <col min="14349" max="14349" width="11" style="59" customWidth="1"/>
    <col min="14350" max="14350" width="5.85546875" style="59" customWidth="1"/>
    <col min="14351" max="14351" width="10.7109375" style="59" customWidth="1"/>
    <col min="14352" max="14352" width="10.85546875" style="59" customWidth="1"/>
    <col min="14353" max="14353" width="8.7109375" style="59" customWidth="1"/>
    <col min="14354" max="14354" width="10.7109375" style="59" customWidth="1"/>
    <col min="14355" max="14355" width="9.140625" style="59" customWidth="1"/>
    <col min="14356" max="14592" width="9.140625" style="59"/>
    <col min="14593" max="14593" width="3.28515625" style="59" customWidth="1"/>
    <col min="14594" max="14594" width="6.42578125" style="59" customWidth="1"/>
    <col min="14595" max="14595" width="10.140625" style="59" customWidth="1"/>
    <col min="14596" max="14596" width="5.140625" style="59" customWidth="1"/>
    <col min="14597" max="14597" width="6.85546875" style="59" customWidth="1"/>
    <col min="14598" max="14598" width="11.85546875" style="59" customWidth="1"/>
    <col min="14599" max="14599" width="10.5703125" style="59" customWidth="1"/>
    <col min="14600" max="14600" width="6.85546875" style="59" customWidth="1"/>
    <col min="14601" max="14601" width="11.5703125" style="59" customWidth="1"/>
    <col min="14602" max="14602" width="9.85546875" style="59" customWidth="1"/>
    <col min="14603" max="14603" width="6.42578125" style="59" customWidth="1"/>
    <col min="14604" max="14604" width="10.5703125" style="59" customWidth="1"/>
    <col min="14605" max="14605" width="11" style="59" customWidth="1"/>
    <col min="14606" max="14606" width="5.85546875" style="59" customWidth="1"/>
    <col min="14607" max="14607" width="10.7109375" style="59" customWidth="1"/>
    <col min="14608" max="14608" width="10.85546875" style="59" customWidth="1"/>
    <col min="14609" max="14609" width="8.7109375" style="59" customWidth="1"/>
    <col min="14610" max="14610" width="10.7109375" style="59" customWidth="1"/>
    <col min="14611" max="14611" width="9.140625" style="59" customWidth="1"/>
    <col min="14612" max="14848" width="9.140625" style="59"/>
    <col min="14849" max="14849" width="3.28515625" style="59" customWidth="1"/>
    <col min="14850" max="14850" width="6.42578125" style="59" customWidth="1"/>
    <col min="14851" max="14851" width="10.140625" style="59" customWidth="1"/>
    <col min="14852" max="14852" width="5.140625" style="59" customWidth="1"/>
    <col min="14853" max="14853" width="6.85546875" style="59" customWidth="1"/>
    <col min="14854" max="14854" width="11.85546875" style="59" customWidth="1"/>
    <col min="14855" max="14855" width="10.5703125" style="59" customWidth="1"/>
    <col min="14856" max="14856" width="6.85546875" style="59" customWidth="1"/>
    <col min="14857" max="14857" width="11.5703125" style="59" customWidth="1"/>
    <col min="14858" max="14858" width="9.85546875" style="59" customWidth="1"/>
    <col min="14859" max="14859" width="6.42578125" style="59" customWidth="1"/>
    <col min="14860" max="14860" width="10.5703125" style="59" customWidth="1"/>
    <col min="14861" max="14861" width="11" style="59" customWidth="1"/>
    <col min="14862" max="14862" width="5.85546875" style="59" customWidth="1"/>
    <col min="14863" max="14863" width="10.7109375" style="59" customWidth="1"/>
    <col min="14864" max="14864" width="10.85546875" style="59" customWidth="1"/>
    <col min="14865" max="14865" width="8.7109375" style="59" customWidth="1"/>
    <col min="14866" max="14866" width="10.7109375" style="59" customWidth="1"/>
    <col min="14867" max="14867" width="9.140625" style="59" customWidth="1"/>
    <col min="14868" max="15104" width="9.140625" style="59"/>
    <col min="15105" max="15105" width="3.28515625" style="59" customWidth="1"/>
    <col min="15106" max="15106" width="6.42578125" style="59" customWidth="1"/>
    <col min="15107" max="15107" width="10.140625" style="59" customWidth="1"/>
    <col min="15108" max="15108" width="5.140625" style="59" customWidth="1"/>
    <col min="15109" max="15109" width="6.85546875" style="59" customWidth="1"/>
    <col min="15110" max="15110" width="11.85546875" style="59" customWidth="1"/>
    <col min="15111" max="15111" width="10.5703125" style="59" customWidth="1"/>
    <col min="15112" max="15112" width="6.85546875" style="59" customWidth="1"/>
    <col min="15113" max="15113" width="11.5703125" style="59" customWidth="1"/>
    <col min="15114" max="15114" width="9.85546875" style="59" customWidth="1"/>
    <col min="15115" max="15115" width="6.42578125" style="59" customWidth="1"/>
    <col min="15116" max="15116" width="10.5703125" style="59" customWidth="1"/>
    <col min="15117" max="15117" width="11" style="59" customWidth="1"/>
    <col min="15118" max="15118" width="5.85546875" style="59" customWidth="1"/>
    <col min="15119" max="15119" width="10.7109375" style="59" customWidth="1"/>
    <col min="15120" max="15120" width="10.85546875" style="59" customWidth="1"/>
    <col min="15121" max="15121" width="8.7109375" style="59" customWidth="1"/>
    <col min="15122" max="15122" width="10.7109375" style="59" customWidth="1"/>
    <col min="15123" max="15123" width="9.140625" style="59" customWidth="1"/>
    <col min="15124" max="15360" width="9.140625" style="59"/>
    <col min="15361" max="15361" width="3.28515625" style="59" customWidth="1"/>
    <col min="15362" max="15362" width="6.42578125" style="59" customWidth="1"/>
    <col min="15363" max="15363" width="10.140625" style="59" customWidth="1"/>
    <col min="15364" max="15364" width="5.140625" style="59" customWidth="1"/>
    <col min="15365" max="15365" width="6.85546875" style="59" customWidth="1"/>
    <col min="15366" max="15366" width="11.85546875" style="59" customWidth="1"/>
    <col min="15367" max="15367" width="10.5703125" style="59" customWidth="1"/>
    <col min="15368" max="15368" width="6.85546875" style="59" customWidth="1"/>
    <col min="15369" max="15369" width="11.5703125" style="59" customWidth="1"/>
    <col min="15370" max="15370" width="9.85546875" style="59" customWidth="1"/>
    <col min="15371" max="15371" width="6.42578125" style="59" customWidth="1"/>
    <col min="15372" max="15372" width="10.5703125" style="59" customWidth="1"/>
    <col min="15373" max="15373" width="11" style="59" customWidth="1"/>
    <col min="15374" max="15374" width="5.85546875" style="59" customWidth="1"/>
    <col min="15375" max="15375" width="10.7109375" style="59" customWidth="1"/>
    <col min="15376" max="15376" width="10.85546875" style="59" customWidth="1"/>
    <col min="15377" max="15377" width="8.7109375" style="59" customWidth="1"/>
    <col min="15378" max="15378" width="10.7109375" style="59" customWidth="1"/>
    <col min="15379" max="15379" width="9.140625" style="59" customWidth="1"/>
    <col min="15380" max="15616" width="9.140625" style="59"/>
    <col min="15617" max="15617" width="3.28515625" style="59" customWidth="1"/>
    <col min="15618" max="15618" width="6.42578125" style="59" customWidth="1"/>
    <col min="15619" max="15619" width="10.140625" style="59" customWidth="1"/>
    <col min="15620" max="15620" width="5.140625" style="59" customWidth="1"/>
    <col min="15621" max="15621" width="6.85546875" style="59" customWidth="1"/>
    <col min="15622" max="15622" width="11.85546875" style="59" customWidth="1"/>
    <col min="15623" max="15623" width="10.5703125" style="59" customWidth="1"/>
    <col min="15624" max="15624" width="6.85546875" style="59" customWidth="1"/>
    <col min="15625" max="15625" width="11.5703125" style="59" customWidth="1"/>
    <col min="15626" max="15626" width="9.85546875" style="59" customWidth="1"/>
    <col min="15627" max="15627" width="6.42578125" style="59" customWidth="1"/>
    <col min="15628" max="15628" width="10.5703125" style="59" customWidth="1"/>
    <col min="15629" max="15629" width="11" style="59" customWidth="1"/>
    <col min="15630" max="15630" width="5.85546875" style="59" customWidth="1"/>
    <col min="15631" max="15631" width="10.7109375" style="59" customWidth="1"/>
    <col min="15632" max="15632" width="10.85546875" style="59" customWidth="1"/>
    <col min="15633" max="15633" width="8.7109375" style="59" customWidth="1"/>
    <col min="15634" max="15634" width="10.7109375" style="59" customWidth="1"/>
    <col min="15635" max="15635" width="9.140625" style="59" customWidth="1"/>
    <col min="15636" max="15872" width="9.140625" style="59"/>
    <col min="15873" max="15873" width="3.28515625" style="59" customWidth="1"/>
    <col min="15874" max="15874" width="6.42578125" style="59" customWidth="1"/>
    <col min="15875" max="15875" width="10.140625" style="59" customWidth="1"/>
    <col min="15876" max="15876" width="5.140625" style="59" customWidth="1"/>
    <col min="15877" max="15877" width="6.85546875" style="59" customWidth="1"/>
    <col min="15878" max="15878" width="11.85546875" style="59" customWidth="1"/>
    <col min="15879" max="15879" width="10.5703125" style="59" customWidth="1"/>
    <col min="15880" max="15880" width="6.85546875" style="59" customWidth="1"/>
    <col min="15881" max="15881" width="11.5703125" style="59" customWidth="1"/>
    <col min="15882" max="15882" width="9.85546875" style="59" customWidth="1"/>
    <col min="15883" max="15883" width="6.42578125" style="59" customWidth="1"/>
    <col min="15884" max="15884" width="10.5703125" style="59" customWidth="1"/>
    <col min="15885" max="15885" width="11" style="59" customWidth="1"/>
    <col min="15886" max="15886" width="5.85546875" style="59" customWidth="1"/>
    <col min="15887" max="15887" width="10.7109375" style="59" customWidth="1"/>
    <col min="15888" max="15888" width="10.85546875" style="59" customWidth="1"/>
    <col min="15889" max="15889" width="8.7109375" style="59" customWidth="1"/>
    <col min="15890" max="15890" width="10.7109375" style="59" customWidth="1"/>
    <col min="15891" max="15891" width="9.140625" style="59" customWidth="1"/>
    <col min="15892" max="16128" width="9.140625" style="59"/>
    <col min="16129" max="16129" width="3.28515625" style="59" customWidth="1"/>
    <col min="16130" max="16130" width="6.42578125" style="59" customWidth="1"/>
    <col min="16131" max="16131" width="10.140625" style="59" customWidth="1"/>
    <col min="16132" max="16132" width="5.140625" style="59" customWidth="1"/>
    <col min="16133" max="16133" width="6.85546875" style="59" customWidth="1"/>
    <col min="16134" max="16134" width="11.85546875" style="59" customWidth="1"/>
    <col min="16135" max="16135" width="10.5703125" style="59" customWidth="1"/>
    <col min="16136" max="16136" width="6.85546875" style="59" customWidth="1"/>
    <col min="16137" max="16137" width="11.5703125" style="59" customWidth="1"/>
    <col min="16138" max="16138" width="9.85546875" style="59" customWidth="1"/>
    <col min="16139" max="16139" width="6.42578125" style="59" customWidth="1"/>
    <col min="16140" max="16140" width="10.5703125" style="59" customWidth="1"/>
    <col min="16141" max="16141" width="11" style="59" customWidth="1"/>
    <col min="16142" max="16142" width="5.85546875" style="59" customWidth="1"/>
    <col min="16143" max="16143" width="10.7109375" style="59" customWidth="1"/>
    <col min="16144" max="16144" width="10.85546875" style="59" customWidth="1"/>
    <col min="16145" max="16145" width="8.7109375" style="59" customWidth="1"/>
    <col min="16146" max="16146" width="10.7109375" style="59" customWidth="1"/>
    <col min="16147" max="16147" width="9.140625" style="59" customWidth="1"/>
    <col min="16148" max="16384" width="9.140625" style="59"/>
  </cols>
  <sheetData>
    <row r="1" spans="1:22">
      <c r="A1" s="58"/>
      <c r="B1" s="695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22">
      <c r="A2" s="58"/>
      <c r="B2" s="1554" t="s">
        <v>500</v>
      </c>
      <c r="C2" s="1554"/>
      <c r="D2" s="1554"/>
      <c r="E2" s="1554"/>
      <c r="F2" s="1554"/>
      <c r="G2" s="1554"/>
      <c r="H2" s="1554"/>
      <c r="I2" s="1554"/>
      <c r="J2" s="1554"/>
      <c r="K2" s="1554"/>
      <c r="L2" s="1554"/>
      <c r="M2" s="1554"/>
      <c r="N2" s="1554"/>
      <c r="O2" s="1554"/>
      <c r="P2" s="1554"/>
      <c r="Q2" s="1554"/>
      <c r="R2" s="1554"/>
      <c r="S2" s="1554"/>
    </row>
    <row r="3" spans="1:22">
      <c r="A3" s="58"/>
      <c r="B3" s="1555" t="s">
        <v>498</v>
      </c>
      <c r="C3" s="1555"/>
      <c r="D3" s="1555"/>
      <c r="E3" s="1555"/>
      <c r="F3" s="1555"/>
      <c r="G3" s="1555"/>
      <c r="H3" s="1555"/>
      <c r="I3" s="1555"/>
      <c r="J3" s="1555"/>
      <c r="K3" s="1555"/>
      <c r="L3" s="1555"/>
      <c r="M3" s="1555"/>
      <c r="N3" s="1555"/>
      <c r="O3" s="1555"/>
      <c r="P3" s="1555"/>
      <c r="Q3" s="1555"/>
      <c r="R3" s="1555"/>
      <c r="S3" s="1555"/>
    </row>
    <row r="4" spans="1:22" ht="15.75" thickBot="1">
      <c r="A4" s="695"/>
      <c r="B4" s="1556" t="s">
        <v>1</v>
      </c>
      <c r="C4" s="1556"/>
      <c r="D4" s="1556"/>
      <c r="E4" s="1556"/>
      <c r="F4" s="1556"/>
      <c r="G4" s="1556"/>
      <c r="H4" s="1556"/>
      <c r="I4" s="1556"/>
      <c r="J4" s="1556"/>
      <c r="K4" s="1556"/>
      <c r="L4" s="1556"/>
      <c r="M4" s="1556"/>
      <c r="N4" s="1556"/>
      <c r="O4" s="1556"/>
      <c r="P4" s="1556"/>
      <c r="Q4" s="1556"/>
      <c r="R4" s="1556"/>
      <c r="S4" s="1556"/>
    </row>
    <row r="5" spans="1:22" ht="21">
      <c r="A5" s="58"/>
      <c r="B5" s="476" t="s">
        <v>113</v>
      </c>
      <c r="C5" s="1530" t="s">
        <v>160</v>
      </c>
      <c r="D5" s="1530"/>
      <c r="E5" s="1530"/>
      <c r="F5" s="477" t="s">
        <v>3</v>
      </c>
      <c r="G5" s="1531" t="s">
        <v>179</v>
      </c>
      <c r="H5" s="1531"/>
      <c r="I5" s="1531"/>
      <c r="J5" s="1531"/>
      <c r="K5" s="1531"/>
      <c r="L5" s="1531"/>
      <c r="M5" s="1531"/>
      <c r="N5" s="1531"/>
      <c r="O5" s="1531"/>
      <c r="P5" s="1531"/>
      <c r="Q5" s="1531"/>
      <c r="R5" s="1531"/>
      <c r="S5" s="1532"/>
    </row>
    <row r="6" spans="1:22" ht="24" customHeight="1">
      <c r="A6" s="58"/>
      <c r="B6" s="478" t="s">
        <v>114</v>
      </c>
      <c r="C6" s="1537" t="s">
        <v>152</v>
      </c>
      <c r="D6" s="1537"/>
      <c r="E6" s="1537"/>
      <c r="F6" s="479" t="s">
        <v>115</v>
      </c>
      <c r="G6" s="1538" t="s">
        <v>151</v>
      </c>
      <c r="H6" s="1538"/>
      <c r="I6" s="1538"/>
      <c r="J6" s="1538"/>
      <c r="K6" s="1538"/>
      <c r="L6" s="1538"/>
      <c r="M6" s="1538"/>
      <c r="N6" s="1538"/>
      <c r="O6" s="1538"/>
      <c r="P6" s="1538"/>
      <c r="Q6" s="1538"/>
      <c r="R6" s="1538"/>
      <c r="S6" s="1539"/>
      <c r="V6" s="778"/>
    </row>
    <row r="7" spans="1:22" ht="15" customHeight="1">
      <c r="A7" s="58"/>
      <c r="B7" s="1515" t="s">
        <v>501</v>
      </c>
      <c r="C7" s="1516" t="s">
        <v>502</v>
      </c>
      <c r="D7" s="1517" t="s">
        <v>503</v>
      </c>
      <c r="E7" s="1511" t="s">
        <v>117</v>
      </c>
      <c r="F7" s="1511"/>
      <c r="G7" s="1511"/>
      <c r="H7" s="1511" t="s">
        <v>504</v>
      </c>
      <c r="I7" s="1511"/>
      <c r="J7" s="1511"/>
      <c r="K7" s="1511" t="s">
        <v>504</v>
      </c>
      <c r="L7" s="1511"/>
      <c r="M7" s="1511"/>
      <c r="N7" s="1511" t="s">
        <v>504</v>
      </c>
      <c r="O7" s="1511"/>
      <c r="P7" s="1511"/>
      <c r="Q7" s="1512" t="s">
        <v>505</v>
      </c>
      <c r="R7" s="1512"/>
      <c r="S7" s="1513"/>
    </row>
    <row r="8" spans="1:22" ht="94.5">
      <c r="A8" s="58"/>
      <c r="B8" s="1515"/>
      <c r="C8" s="1516"/>
      <c r="D8" s="1517"/>
      <c r="E8" s="480" t="s">
        <v>506</v>
      </c>
      <c r="F8" s="481" t="s">
        <v>507</v>
      </c>
      <c r="G8" s="482" t="s">
        <v>508</v>
      </c>
      <c r="H8" s="483" t="s">
        <v>509</v>
      </c>
      <c r="I8" s="481" t="s">
        <v>510</v>
      </c>
      <c r="J8" s="484" t="s">
        <v>511</v>
      </c>
      <c r="K8" s="483" t="s">
        <v>512</v>
      </c>
      <c r="L8" s="481" t="s">
        <v>513</v>
      </c>
      <c r="M8" s="484" t="s">
        <v>514</v>
      </c>
      <c r="N8" s="483" t="s">
        <v>515</v>
      </c>
      <c r="O8" s="481" t="s">
        <v>516</v>
      </c>
      <c r="P8" s="484" t="s">
        <v>517</v>
      </c>
      <c r="Q8" s="483" t="s">
        <v>518</v>
      </c>
      <c r="R8" s="481" t="s">
        <v>519</v>
      </c>
      <c r="S8" s="485" t="s">
        <v>520</v>
      </c>
    </row>
    <row r="9" spans="1:22" ht="15.75" thickBot="1">
      <c r="A9" s="58"/>
      <c r="B9" s="486"/>
      <c r="C9" s="487"/>
      <c r="D9" s="487"/>
      <c r="E9" s="487" t="s">
        <v>13</v>
      </c>
      <c r="F9" s="487" t="s">
        <v>14</v>
      </c>
      <c r="G9" s="487" t="s">
        <v>15</v>
      </c>
      <c r="H9" s="487" t="s">
        <v>16</v>
      </c>
      <c r="I9" s="487" t="s">
        <v>17</v>
      </c>
      <c r="J9" s="487" t="s">
        <v>18</v>
      </c>
      <c r="K9" s="487" t="s">
        <v>521</v>
      </c>
      <c r="L9" s="487" t="s">
        <v>20</v>
      </c>
      <c r="M9" s="487" t="s">
        <v>21</v>
      </c>
      <c r="N9" s="487" t="s">
        <v>522</v>
      </c>
      <c r="O9" s="487" t="s">
        <v>523</v>
      </c>
      <c r="P9" s="487" t="s">
        <v>524</v>
      </c>
      <c r="Q9" s="487" t="s">
        <v>525</v>
      </c>
      <c r="R9" s="487" t="s">
        <v>526</v>
      </c>
      <c r="S9" s="488" t="s">
        <v>527</v>
      </c>
    </row>
    <row r="10" spans="1:22" ht="23.25" customHeight="1" thickTop="1">
      <c r="A10" s="58"/>
      <c r="B10" s="1557" t="s">
        <v>528</v>
      </c>
      <c r="C10" s="1557"/>
      <c r="D10" s="508"/>
      <c r="E10" s="508"/>
      <c r="F10" s="508"/>
      <c r="G10" s="508"/>
      <c r="H10" s="508"/>
      <c r="I10" s="508"/>
      <c r="J10" s="508"/>
      <c r="K10" s="508"/>
      <c r="L10" s="508"/>
      <c r="M10" s="508"/>
      <c r="N10" s="508"/>
      <c r="O10" s="508"/>
      <c r="P10" s="508"/>
      <c r="Q10" s="508"/>
      <c r="R10" s="508"/>
      <c r="S10" s="508"/>
    </row>
    <row r="11" spans="1:22" ht="45">
      <c r="A11" s="58"/>
      <c r="B11" s="509" t="s">
        <v>272</v>
      </c>
      <c r="C11" s="510" t="s">
        <v>273</v>
      </c>
      <c r="D11" s="511" t="s">
        <v>598</v>
      </c>
      <c r="E11" s="512">
        <v>73246</v>
      </c>
      <c r="F11" s="513">
        <v>1709712230</v>
      </c>
      <c r="G11" s="514">
        <v>23342.055948447698</v>
      </c>
      <c r="H11" s="512">
        <v>98502</v>
      </c>
      <c r="I11" s="513">
        <v>1634800000</v>
      </c>
      <c r="J11" s="515">
        <f>I11/H11</f>
        <v>16596.617327566953</v>
      </c>
      <c r="K11" s="512">
        <v>98502</v>
      </c>
      <c r="L11" s="513">
        <v>1634800000</v>
      </c>
      <c r="M11" s="515">
        <f>L11/K11</f>
        <v>16596.617327566953</v>
      </c>
      <c r="N11" s="512">
        <v>28592</v>
      </c>
      <c r="O11" s="513">
        <f>452040043+3000</f>
        <v>452043043</v>
      </c>
      <c r="P11" s="515">
        <f>O11/N11</f>
        <v>15810.123216284275</v>
      </c>
      <c r="Q11" s="516">
        <f>P11-G11</f>
        <v>-7531.9327321634228</v>
      </c>
      <c r="R11" s="516">
        <f>P11-J11</f>
        <v>-786.4941112826782</v>
      </c>
      <c r="S11" s="517">
        <f>P11-M11</f>
        <v>-786.4941112826782</v>
      </c>
    </row>
    <row r="12" spans="1:22" ht="26.25" customHeight="1">
      <c r="A12" s="58"/>
      <c r="B12" s="509" t="s">
        <v>274</v>
      </c>
      <c r="C12" s="518" t="s">
        <v>599</v>
      </c>
      <c r="D12" s="519" t="s">
        <v>556</v>
      </c>
      <c r="E12" s="512">
        <v>2</v>
      </c>
      <c r="F12" s="520">
        <f>36170081+98094879+2735040</f>
        <v>137000000</v>
      </c>
      <c r="G12" s="514">
        <v>68500000</v>
      </c>
      <c r="H12" s="512">
        <v>4</v>
      </c>
      <c r="I12" s="513">
        <v>290000000</v>
      </c>
      <c r="J12" s="521">
        <f>I12/H12</f>
        <v>72500000</v>
      </c>
      <c r="K12" s="512">
        <v>4</v>
      </c>
      <c r="L12" s="513">
        <v>290000000</v>
      </c>
      <c r="M12" s="515">
        <f>L12/K12</f>
        <v>72500000</v>
      </c>
      <c r="N12" s="512">
        <v>0</v>
      </c>
      <c r="O12" s="520">
        <v>0</v>
      </c>
      <c r="P12" s="515"/>
      <c r="Q12" s="516"/>
      <c r="R12" s="516"/>
      <c r="S12" s="517"/>
    </row>
    <row r="13" spans="1:22" ht="26.25" customHeight="1">
      <c r="A13" s="58"/>
      <c r="B13" s="509" t="s">
        <v>275</v>
      </c>
      <c r="C13" s="510" t="s">
        <v>276</v>
      </c>
      <c r="D13" s="519" t="s">
        <v>600</v>
      </c>
      <c r="E13" s="512">
        <f>14+21</f>
        <v>35</v>
      </c>
      <c r="F13" s="522">
        <v>56284800</v>
      </c>
      <c r="G13" s="514">
        <v>1608137.142857143</v>
      </c>
      <c r="H13" s="512">
        <v>65</v>
      </c>
      <c r="I13" s="513">
        <v>200000000</v>
      </c>
      <c r="J13" s="521">
        <f>I13/H13</f>
        <v>3076923.076923077</v>
      </c>
      <c r="K13" s="512">
        <v>65</v>
      </c>
      <c r="L13" s="513">
        <v>200000000</v>
      </c>
      <c r="M13" s="515">
        <f>L13/K13</f>
        <v>3076923.076923077</v>
      </c>
      <c r="N13" s="512">
        <v>1</v>
      </c>
      <c r="O13" s="523">
        <v>2456160</v>
      </c>
      <c r="P13" s="515">
        <f>O13/N13</f>
        <v>2456160</v>
      </c>
      <c r="Q13" s="516">
        <f>P13-G13</f>
        <v>848022.85714285704</v>
      </c>
      <c r="R13" s="516">
        <f>P13-J13</f>
        <v>-620763.07692307699</v>
      </c>
      <c r="S13" s="517">
        <f>P13-M13</f>
        <v>-620763.07692307699</v>
      </c>
    </row>
    <row r="14" spans="1:22" ht="26.25" customHeight="1">
      <c r="A14" s="58"/>
      <c r="B14" s="509" t="s">
        <v>601</v>
      </c>
      <c r="C14" s="510" t="s">
        <v>602</v>
      </c>
      <c r="D14" s="519" t="s">
        <v>600</v>
      </c>
      <c r="E14" s="512">
        <v>0</v>
      </c>
      <c r="F14" s="522">
        <v>0</v>
      </c>
      <c r="G14" s="514">
        <v>0</v>
      </c>
      <c r="H14" s="512">
        <v>510</v>
      </c>
      <c r="I14" s="513">
        <v>10000000</v>
      </c>
      <c r="J14" s="515">
        <f>I14/H14</f>
        <v>19607.843137254902</v>
      </c>
      <c r="K14" s="512">
        <v>510</v>
      </c>
      <c r="L14" s="513">
        <v>10000000</v>
      </c>
      <c r="M14" s="515">
        <f>L14/K14</f>
        <v>19607.843137254902</v>
      </c>
      <c r="N14" s="512">
        <v>0</v>
      </c>
      <c r="O14" s="522">
        <v>0</v>
      </c>
      <c r="P14" s="515"/>
      <c r="Q14" s="516"/>
      <c r="R14" s="516"/>
      <c r="S14" s="517"/>
    </row>
    <row r="15" spans="1:22" ht="29.25" customHeight="1">
      <c r="A15" s="58"/>
      <c r="B15" s="509"/>
      <c r="C15" s="510" t="s">
        <v>68</v>
      </c>
      <c r="D15" s="519"/>
      <c r="E15" s="513"/>
      <c r="F15" s="524">
        <f>SUM(F11:F13)</f>
        <v>1902997030</v>
      </c>
      <c r="G15" s="524"/>
      <c r="H15" s="525"/>
      <c r="I15" s="524">
        <f>SUM(I11:I14)</f>
        <v>2134800000</v>
      </c>
      <c r="J15" s="525"/>
      <c r="K15" s="525"/>
      <c r="L15" s="524">
        <f>SUM(L11:L14)</f>
        <v>2134800000</v>
      </c>
      <c r="M15" s="525"/>
      <c r="N15" s="525"/>
      <c r="O15" s="524">
        <f>SUM(O11:O13)</f>
        <v>454499203</v>
      </c>
      <c r="P15" s="512"/>
      <c r="Q15" s="512"/>
      <c r="R15" s="526"/>
      <c r="S15" s="527"/>
    </row>
    <row r="16" spans="1:22" ht="54.75" customHeight="1">
      <c r="A16" s="58"/>
      <c r="B16" s="528" t="s">
        <v>272</v>
      </c>
      <c r="C16" s="510" t="s">
        <v>273</v>
      </c>
      <c r="D16" s="511" t="s">
        <v>598</v>
      </c>
      <c r="E16" s="529"/>
      <c r="F16" s="522">
        <f>5519195+2397120</f>
        <v>7916315</v>
      </c>
      <c r="G16" s="529"/>
      <c r="H16" s="529"/>
      <c r="I16" s="530">
        <v>0</v>
      </c>
      <c r="J16" s="529"/>
      <c r="K16" s="529"/>
      <c r="L16" s="530">
        <v>0</v>
      </c>
      <c r="M16" s="529"/>
      <c r="N16" s="529"/>
      <c r="O16" s="523">
        <v>2809260</v>
      </c>
      <c r="P16" s="529"/>
      <c r="Q16" s="529"/>
      <c r="R16" s="529"/>
      <c r="S16" s="529"/>
    </row>
    <row r="17" spans="1:19" ht="39.75" customHeight="1">
      <c r="A17" s="58"/>
      <c r="B17" s="528" t="s">
        <v>253</v>
      </c>
      <c r="C17" s="510" t="s">
        <v>254</v>
      </c>
      <c r="D17" s="531"/>
      <c r="E17" s="529"/>
      <c r="F17" s="532">
        <v>1209600</v>
      </c>
      <c r="G17" s="529"/>
      <c r="H17" s="529"/>
      <c r="I17" s="530">
        <v>0</v>
      </c>
      <c r="J17" s="529"/>
      <c r="K17" s="529"/>
      <c r="L17" s="530">
        <v>0</v>
      </c>
      <c r="M17" s="529"/>
      <c r="N17" s="529"/>
      <c r="O17" s="530"/>
      <c r="P17" s="529"/>
      <c r="Q17" s="529"/>
      <c r="R17" s="529"/>
      <c r="S17" s="529"/>
    </row>
    <row r="18" spans="1:19" ht="35.25" customHeight="1">
      <c r="A18" s="58"/>
      <c r="B18" s="533" t="s">
        <v>529</v>
      </c>
      <c r="C18" s="510" t="s">
        <v>68</v>
      </c>
      <c r="D18" s="531"/>
      <c r="E18" s="529"/>
      <c r="F18" s="534">
        <f>SUM(F16:F17)</f>
        <v>9125915</v>
      </c>
      <c r="G18" s="535"/>
      <c r="H18" s="535"/>
      <c r="I18" s="534">
        <v>0</v>
      </c>
      <c r="J18" s="535"/>
      <c r="K18" s="535"/>
      <c r="L18" s="534">
        <v>0</v>
      </c>
      <c r="M18" s="535"/>
      <c r="N18" s="535"/>
      <c r="O18" s="534">
        <f>SUM(O16:O17)</f>
        <v>2809260</v>
      </c>
      <c r="P18" s="529"/>
      <c r="Q18" s="529"/>
      <c r="R18" s="529"/>
      <c r="S18" s="529"/>
    </row>
    <row r="19" spans="1:19">
      <c r="A19" s="58"/>
      <c r="B19" s="1558"/>
      <c r="C19" s="1558"/>
      <c r="D19" s="1558"/>
      <c r="E19" s="1558"/>
      <c r="F19" s="1558"/>
      <c r="G19" s="1558"/>
      <c r="H19" s="1558"/>
      <c r="I19" s="1558"/>
      <c r="J19" s="1558"/>
      <c r="K19" s="1558"/>
      <c r="L19" s="1558"/>
      <c r="M19" s="1558"/>
      <c r="N19" s="1558"/>
      <c r="O19" s="1558"/>
      <c r="P19" s="1558"/>
      <c r="Q19" s="1558"/>
      <c r="R19" s="1558"/>
      <c r="S19" s="1558"/>
    </row>
    <row r="22" spans="1:19" ht="19.5" customHeight="1"/>
    <row r="23" spans="1:19" ht="27.75" customHeight="1"/>
  </sheetData>
  <mergeCells count="17">
    <mergeCell ref="B10:C10"/>
    <mergeCell ref="B19:S19"/>
    <mergeCell ref="B7:B8"/>
    <mergeCell ref="C7:C8"/>
    <mergeCell ref="D7:D8"/>
    <mergeCell ref="E7:G7"/>
    <mergeCell ref="H7:J7"/>
    <mergeCell ref="K7:M7"/>
    <mergeCell ref="C6:E6"/>
    <mergeCell ref="G6:S6"/>
    <mergeCell ref="N7:P7"/>
    <mergeCell ref="Q7:S7"/>
    <mergeCell ref="B2:S2"/>
    <mergeCell ref="B3:S3"/>
    <mergeCell ref="B4:S4"/>
    <mergeCell ref="C5:E5"/>
    <mergeCell ref="G5:S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79998168889431442"/>
  </sheetPr>
  <dimension ref="A1:S21"/>
  <sheetViews>
    <sheetView workbookViewId="0">
      <selection activeCell="D12" sqref="D12:E12"/>
    </sheetView>
  </sheetViews>
  <sheetFormatPr defaultRowHeight="15"/>
  <cols>
    <col min="1" max="1" width="3.28515625" style="538" customWidth="1"/>
    <col min="2" max="2" width="12" style="538" customWidth="1"/>
    <col min="3" max="3" width="36.7109375" style="538" customWidth="1"/>
    <col min="4" max="5" width="9.42578125" style="538" customWidth="1"/>
    <col min="6" max="6" width="14.85546875" style="538" customWidth="1"/>
    <col min="7" max="7" width="13.5703125" style="538" customWidth="1"/>
    <col min="8" max="8" width="9.28515625" style="538" customWidth="1"/>
    <col min="9" max="9" width="17.140625" style="538" customWidth="1"/>
    <col min="10" max="10" width="13.7109375" style="538" customWidth="1"/>
    <col min="11" max="11" width="10.42578125" style="538" customWidth="1"/>
    <col min="12" max="12" width="16.140625" style="538" customWidth="1"/>
    <col min="13" max="13" width="13.5703125" style="538" customWidth="1"/>
    <col min="14" max="14" width="9.140625" style="538" customWidth="1"/>
    <col min="15" max="15" width="12.42578125" style="538" customWidth="1"/>
    <col min="16" max="16" width="11.85546875" style="538" customWidth="1"/>
    <col min="17" max="17" width="14.28515625" style="538" customWidth="1"/>
    <col min="18" max="18" width="15.85546875" style="538" customWidth="1"/>
    <col min="19" max="19" width="15" style="538" customWidth="1"/>
    <col min="20" max="16384" width="9.140625" style="538"/>
  </cols>
  <sheetData>
    <row r="1" spans="1:19">
      <c r="A1" s="536"/>
      <c r="B1" s="537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</row>
    <row r="2" spans="1:19">
      <c r="A2" s="536"/>
      <c r="B2" s="1559" t="s">
        <v>500</v>
      </c>
      <c r="C2" s="1559"/>
      <c r="D2" s="1559"/>
      <c r="E2" s="1559"/>
      <c r="F2" s="1559"/>
      <c r="G2" s="1559"/>
      <c r="H2" s="1559"/>
      <c r="I2" s="1559"/>
      <c r="J2" s="1559"/>
      <c r="K2" s="1559"/>
      <c r="L2" s="1559"/>
      <c r="M2" s="1559"/>
      <c r="N2" s="1559"/>
      <c r="O2" s="1559"/>
      <c r="P2" s="1559"/>
      <c r="Q2" s="1559"/>
      <c r="R2" s="1559"/>
      <c r="S2" s="1559"/>
    </row>
    <row r="3" spans="1:19">
      <c r="A3" s="536"/>
      <c r="B3" s="1560" t="s">
        <v>540</v>
      </c>
      <c r="C3" s="1560"/>
      <c r="D3" s="1560"/>
      <c r="E3" s="1560"/>
      <c r="F3" s="1560"/>
      <c r="G3" s="1560"/>
      <c r="H3" s="1560"/>
      <c r="I3" s="1560"/>
      <c r="J3" s="1560"/>
      <c r="K3" s="1560"/>
      <c r="L3" s="1560"/>
      <c r="M3" s="1560"/>
      <c r="N3" s="1560"/>
      <c r="O3" s="1560"/>
      <c r="P3" s="1560"/>
      <c r="Q3" s="1560"/>
      <c r="R3" s="1560"/>
      <c r="S3" s="1560"/>
    </row>
    <row r="4" spans="1:19" ht="15.75" thickBot="1">
      <c r="A4" s="537"/>
      <c r="B4" s="1561" t="s">
        <v>1</v>
      </c>
      <c r="C4" s="1561"/>
      <c r="D4" s="1561"/>
      <c r="E4" s="1561"/>
      <c r="F4" s="1561"/>
      <c r="G4" s="1561"/>
      <c r="H4" s="1561"/>
      <c r="I4" s="1561"/>
      <c r="J4" s="1561"/>
      <c r="K4" s="1561"/>
      <c r="L4" s="1561"/>
      <c r="M4" s="1561"/>
      <c r="N4" s="1561"/>
      <c r="O4" s="1561"/>
      <c r="P4" s="1561"/>
      <c r="Q4" s="1561"/>
      <c r="R4" s="1561"/>
      <c r="S4" s="1561"/>
    </row>
    <row r="5" spans="1:19" s="690" customFormat="1" ht="12" thickTop="1">
      <c r="A5" s="923"/>
      <c r="B5" s="1113" t="s">
        <v>113</v>
      </c>
      <c r="C5" s="1562" t="s">
        <v>160</v>
      </c>
      <c r="D5" s="1562"/>
      <c r="E5" s="1562"/>
      <c r="F5" s="1114" t="s">
        <v>3</v>
      </c>
      <c r="G5" s="1563" t="s">
        <v>179</v>
      </c>
      <c r="H5" s="1563"/>
      <c r="I5" s="1563"/>
      <c r="J5" s="1563"/>
      <c r="K5" s="1563"/>
      <c r="L5" s="1563"/>
      <c r="M5" s="1563"/>
      <c r="N5" s="1563"/>
      <c r="O5" s="1563"/>
      <c r="P5" s="1563"/>
      <c r="Q5" s="1563"/>
      <c r="R5" s="1563"/>
      <c r="S5" s="1563"/>
    </row>
    <row r="6" spans="1:19" s="690" customFormat="1" ht="21">
      <c r="A6" s="923"/>
      <c r="B6" s="1115" t="s">
        <v>603</v>
      </c>
      <c r="C6" s="1537" t="s">
        <v>154</v>
      </c>
      <c r="D6" s="1537"/>
      <c r="E6" s="1537"/>
      <c r="F6" s="479" t="s">
        <v>115</v>
      </c>
      <c r="G6" s="1538" t="s">
        <v>153</v>
      </c>
      <c r="H6" s="1538"/>
      <c r="I6" s="1538"/>
      <c r="J6" s="1538"/>
      <c r="K6" s="1538"/>
      <c r="L6" s="1538"/>
      <c r="M6" s="1538"/>
      <c r="N6" s="1538"/>
      <c r="O6" s="1538"/>
      <c r="P6" s="1538"/>
      <c r="Q6" s="1538"/>
      <c r="R6" s="1538"/>
      <c r="S6" s="1538"/>
    </row>
    <row r="7" spans="1:19" s="690" customFormat="1" ht="11.25">
      <c r="A7" s="923"/>
      <c r="B7" s="1568" t="s">
        <v>501</v>
      </c>
      <c r="C7" s="1516" t="s">
        <v>502</v>
      </c>
      <c r="D7" s="1517" t="s">
        <v>503</v>
      </c>
      <c r="E7" s="1511" t="s">
        <v>117</v>
      </c>
      <c r="F7" s="1511"/>
      <c r="G7" s="1511"/>
      <c r="H7" s="1511" t="s">
        <v>504</v>
      </c>
      <c r="I7" s="1511"/>
      <c r="J7" s="1511"/>
      <c r="K7" s="1511" t="s">
        <v>504</v>
      </c>
      <c r="L7" s="1511"/>
      <c r="M7" s="1511"/>
      <c r="N7" s="1511" t="s">
        <v>504</v>
      </c>
      <c r="O7" s="1511"/>
      <c r="P7" s="1511"/>
      <c r="Q7" s="1512" t="s">
        <v>505</v>
      </c>
      <c r="R7" s="1512"/>
      <c r="S7" s="1512"/>
    </row>
    <row r="8" spans="1:19" s="690" customFormat="1" ht="63">
      <c r="A8" s="923"/>
      <c r="B8" s="1568"/>
      <c r="C8" s="1516"/>
      <c r="D8" s="1517"/>
      <c r="E8" s="480" t="s">
        <v>604</v>
      </c>
      <c r="F8" s="481" t="s">
        <v>605</v>
      </c>
      <c r="G8" s="482" t="s">
        <v>606</v>
      </c>
      <c r="H8" s="483" t="s">
        <v>509</v>
      </c>
      <c r="I8" s="481" t="s">
        <v>510</v>
      </c>
      <c r="J8" s="484" t="s">
        <v>511</v>
      </c>
      <c r="K8" s="483" t="s">
        <v>512</v>
      </c>
      <c r="L8" s="481" t="s">
        <v>607</v>
      </c>
      <c r="M8" s="484" t="s">
        <v>608</v>
      </c>
      <c r="N8" s="483" t="s">
        <v>609</v>
      </c>
      <c r="O8" s="481" t="s">
        <v>610</v>
      </c>
      <c r="P8" s="484" t="s">
        <v>611</v>
      </c>
      <c r="Q8" s="483" t="s">
        <v>518</v>
      </c>
      <c r="R8" s="481" t="s">
        <v>519</v>
      </c>
      <c r="S8" s="1116" t="s">
        <v>520</v>
      </c>
    </row>
    <row r="9" spans="1:19" s="690" customFormat="1" ht="12" thickBot="1">
      <c r="A9" s="923"/>
      <c r="B9" s="1117"/>
      <c r="C9" s="487"/>
      <c r="D9" s="487"/>
      <c r="E9" s="487" t="s">
        <v>13</v>
      </c>
      <c r="F9" s="487" t="s">
        <v>14</v>
      </c>
      <c r="G9" s="487" t="s">
        <v>15</v>
      </c>
      <c r="H9" s="487" t="s">
        <v>16</v>
      </c>
      <c r="I9" s="487" t="s">
        <v>17</v>
      </c>
      <c r="J9" s="487" t="s">
        <v>18</v>
      </c>
      <c r="K9" s="487" t="s">
        <v>521</v>
      </c>
      <c r="L9" s="487" t="s">
        <v>20</v>
      </c>
      <c r="M9" s="487" t="s">
        <v>21</v>
      </c>
      <c r="N9" s="487" t="s">
        <v>522</v>
      </c>
      <c r="O9" s="487" t="s">
        <v>523</v>
      </c>
      <c r="P9" s="487" t="s">
        <v>524</v>
      </c>
      <c r="Q9" s="487" t="s">
        <v>525</v>
      </c>
      <c r="R9" s="487" t="s">
        <v>526</v>
      </c>
      <c r="S9" s="1118" t="s">
        <v>527</v>
      </c>
    </row>
    <row r="10" spans="1:19" ht="15.75" thickTop="1">
      <c r="A10" s="536"/>
      <c r="B10" s="1564" t="s">
        <v>528</v>
      </c>
      <c r="C10" s="1565"/>
      <c r="D10" s="1565"/>
      <c r="E10" s="1566"/>
      <c r="F10" s="539"/>
      <c r="G10" s="540"/>
      <c r="H10" s="539"/>
      <c r="I10" s="540"/>
      <c r="J10" s="541"/>
      <c r="K10" s="542"/>
      <c r="L10" s="543"/>
      <c r="M10" s="544"/>
      <c r="N10" s="542"/>
      <c r="O10" s="540"/>
      <c r="P10" s="541"/>
      <c r="Q10" s="539"/>
      <c r="R10" s="540"/>
      <c r="S10" s="545"/>
    </row>
    <row r="11" spans="1:19" s="690" customFormat="1" ht="22.5">
      <c r="A11" s="923"/>
      <c r="B11" s="924" t="s">
        <v>259</v>
      </c>
      <c r="C11" s="637" t="s">
        <v>612</v>
      </c>
      <c r="D11" s="637" t="s">
        <v>613</v>
      </c>
      <c r="E11" s="638">
        <v>846</v>
      </c>
      <c r="F11" s="638">
        <v>945965957</v>
      </c>
      <c r="G11" s="638">
        <f>F11/E11</f>
        <v>1118163.0697399527</v>
      </c>
      <c r="H11" s="925">
        <v>531</v>
      </c>
      <c r="I11" s="638">
        <v>900900000</v>
      </c>
      <c r="J11" s="926">
        <f>I11/H11</f>
        <v>1696610.1694915255</v>
      </c>
      <c r="K11" s="926">
        <v>531</v>
      </c>
      <c r="L11" s="926">
        <f>I11</f>
        <v>900900000</v>
      </c>
      <c r="M11" s="926">
        <f>L11/K11</f>
        <v>1696610.1694915255</v>
      </c>
      <c r="N11" s="926">
        <v>531</v>
      </c>
      <c r="O11" s="638">
        <v>236627073</v>
      </c>
      <c r="P11" s="927">
        <f>O11/N11</f>
        <v>445625.37288135593</v>
      </c>
      <c r="Q11" s="927">
        <f>P11-G11</f>
        <v>-672537.69685859676</v>
      </c>
      <c r="R11" s="927">
        <f>P11-J11</f>
        <v>-1250984.7966101696</v>
      </c>
      <c r="S11" s="928">
        <f>P11-M11</f>
        <v>-1250984.7966101696</v>
      </c>
    </row>
    <row r="12" spans="1:19" s="690" customFormat="1" ht="11.25">
      <c r="A12" s="923"/>
      <c r="B12" s="924" t="s">
        <v>260</v>
      </c>
      <c r="C12" s="637" t="s">
        <v>261</v>
      </c>
      <c r="D12" s="646" t="s">
        <v>556</v>
      </c>
      <c r="E12" s="638">
        <v>10000</v>
      </c>
      <c r="F12" s="638">
        <v>159102021</v>
      </c>
      <c r="G12" s="638">
        <v>15910.2021</v>
      </c>
      <c r="H12" s="638">
        <v>10000</v>
      </c>
      <c r="I12" s="638">
        <v>24200000</v>
      </c>
      <c r="J12" s="926">
        <f t="shared" ref="J12:J19" si="0">I12/H12</f>
        <v>2420</v>
      </c>
      <c r="K12" s="926">
        <v>10000</v>
      </c>
      <c r="L12" s="926">
        <v>180719902</v>
      </c>
      <c r="M12" s="926">
        <f t="shared" ref="M12:M16" si="1">L12/K12</f>
        <v>18071.9902</v>
      </c>
      <c r="N12" s="926">
        <v>0</v>
      </c>
      <c r="O12" s="638"/>
      <c r="P12" s="927">
        <v>0</v>
      </c>
      <c r="Q12" s="927">
        <v>0</v>
      </c>
      <c r="R12" s="927">
        <v>0</v>
      </c>
      <c r="S12" s="928">
        <v>0</v>
      </c>
    </row>
    <row r="13" spans="1:19" s="690" customFormat="1" ht="11.25">
      <c r="A13" s="923"/>
      <c r="B13" s="924" t="s">
        <v>262</v>
      </c>
      <c r="C13" s="637" t="s">
        <v>263</v>
      </c>
      <c r="D13" s="646" t="s">
        <v>558</v>
      </c>
      <c r="E13" s="638">
        <v>50</v>
      </c>
      <c r="F13" s="638">
        <v>82612654</v>
      </c>
      <c r="G13" s="638">
        <v>1652253.08</v>
      </c>
      <c r="H13" s="929">
        <v>0</v>
      </c>
      <c r="I13" s="929">
        <v>0</v>
      </c>
      <c r="J13" s="926">
        <v>0</v>
      </c>
      <c r="K13" s="926">
        <v>0</v>
      </c>
      <c r="L13" s="926">
        <v>0</v>
      </c>
      <c r="M13" s="926">
        <v>0</v>
      </c>
      <c r="N13" s="926">
        <v>0</v>
      </c>
      <c r="O13" s="929">
        <v>0</v>
      </c>
      <c r="P13" s="927">
        <v>0</v>
      </c>
      <c r="Q13" s="927">
        <v>0</v>
      </c>
      <c r="R13" s="927">
        <v>0</v>
      </c>
      <c r="S13" s="928">
        <f t="shared" ref="S13:S14" si="2">P13-M13</f>
        <v>0</v>
      </c>
    </row>
    <row r="14" spans="1:19" s="690" customFormat="1" ht="33.75">
      <c r="A14" s="923"/>
      <c r="B14" s="924" t="s">
        <v>264</v>
      </c>
      <c r="C14" s="637" t="s">
        <v>614</v>
      </c>
      <c r="D14" s="646" t="s">
        <v>558</v>
      </c>
      <c r="E14" s="638">
        <v>2</v>
      </c>
      <c r="F14" s="638">
        <v>100494494</v>
      </c>
      <c r="G14" s="638">
        <v>50247247</v>
      </c>
      <c r="H14" s="638">
        <v>2</v>
      </c>
      <c r="I14" s="638">
        <v>22150000</v>
      </c>
      <c r="J14" s="926">
        <f t="shared" si="0"/>
        <v>11075000</v>
      </c>
      <c r="K14" s="926">
        <v>2</v>
      </c>
      <c r="L14" s="926">
        <v>122494635</v>
      </c>
      <c r="M14" s="926">
        <f t="shared" si="1"/>
        <v>61247317.5</v>
      </c>
      <c r="N14" s="926">
        <v>2</v>
      </c>
      <c r="O14" s="638">
        <v>12239476</v>
      </c>
      <c r="P14" s="927">
        <f>O14/N14</f>
        <v>6119738</v>
      </c>
      <c r="Q14" s="927">
        <f>P14-G14</f>
        <v>-44127509</v>
      </c>
      <c r="R14" s="927">
        <f t="shared" ref="R14" si="3">P14-J14</f>
        <v>-4955262</v>
      </c>
      <c r="S14" s="928">
        <f t="shared" si="2"/>
        <v>-55127579.5</v>
      </c>
    </row>
    <row r="15" spans="1:19" s="690" customFormat="1" ht="33.75">
      <c r="A15" s="923"/>
      <c r="B15" s="924" t="s">
        <v>265</v>
      </c>
      <c r="C15" s="637" t="s">
        <v>615</v>
      </c>
      <c r="D15" s="646" t="s">
        <v>558</v>
      </c>
      <c r="E15" s="638"/>
      <c r="F15" s="638">
        <v>0</v>
      </c>
      <c r="G15" s="638">
        <v>0</v>
      </c>
      <c r="H15" s="638">
        <v>50</v>
      </c>
      <c r="I15" s="638">
        <v>55000000</v>
      </c>
      <c r="J15" s="926">
        <f t="shared" si="0"/>
        <v>1100000</v>
      </c>
      <c r="K15" s="926">
        <v>50</v>
      </c>
      <c r="L15" s="926">
        <v>20000000</v>
      </c>
      <c r="M15" s="926">
        <f t="shared" si="1"/>
        <v>400000</v>
      </c>
      <c r="N15" s="926">
        <v>0</v>
      </c>
      <c r="O15" s="929">
        <v>0</v>
      </c>
      <c r="P15" s="930">
        <v>0</v>
      </c>
      <c r="Q15" s="927">
        <f>P15-G15</f>
        <v>0</v>
      </c>
      <c r="R15" s="927">
        <v>0</v>
      </c>
      <c r="S15" s="928">
        <v>0</v>
      </c>
    </row>
    <row r="16" spans="1:19" s="690" customFormat="1" ht="33.75">
      <c r="A16" s="923"/>
      <c r="B16" s="924" t="s">
        <v>266</v>
      </c>
      <c r="C16" s="637" t="s">
        <v>616</v>
      </c>
      <c r="D16" s="646" t="s">
        <v>558</v>
      </c>
      <c r="E16" s="638"/>
      <c r="F16" s="638">
        <v>0</v>
      </c>
      <c r="G16" s="638">
        <v>0</v>
      </c>
      <c r="H16" s="638">
        <v>400</v>
      </c>
      <c r="I16" s="638">
        <v>1200000</v>
      </c>
      <c r="J16" s="926">
        <f t="shared" si="0"/>
        <v>3000</v>
      </c>
      <c r="K16" s="926">
        <v>400</v>
      </c>
      <c r="L16" s="926">
        <v>1060000</v>
      </c>
      <c r="M16" s="926">
        <f t="shared" si="1"/>
        <v>2650</v>
      </c>
      <c r="N16" s="926">
        <v>0</v>
      </c>
      <c r="O16" s="929">
        <v>0</v>
      </c>
      <c r="P16" s="930">
        <v>0</v>
      </c>
      <c r="Q16" s="927">
        <v>0</v>
      </c>
      <c r="R16" s="927">
        <v>0</v>
      </c>
      <c r="S16" s="928">
        <v>0</v>
      </c>
    </row>
    <row r="17" spans="1:19" s="690" customFormat="1" ht="11.25">
      <c r="A17" s="923"/>
      <c r="B17" s="924" t="s">
        <v>267</v>
      </c>
      <c r="C17" s="637" t="s">
        <v>268</v>
      </c>
      <c r="D17" s="646" t="s">
        <v>558</v>
      </c>
      <c r="E17" s="638">
        <v>1</v>
      </c>
      <c r="F17" s="638">
        <v>16941973</v>
      </c>
      <c r="G17" s="638">
        <v>16941973</v>
      </c>
      <c r="H17" s="929">
        <v>0</v>
      </c>
      <c r="I17" s="929">
        <v>0</v>
      </c>
      <c r="J17" s="926">
        <v>0</v>
      </c>
      <c r="K17" s="926">
        <v>0</v>
      </c>
      <c r="L17" s="926">
        <v>0</v>
      </c>
      <c r="M17" s="926">
        <v>0</v>
      </c>
      <c r="N17" s="926">
        <v>0</v>
      </c>
      <c r="O17" s="929">
        <v>0</v>
      </c>
      <c r="P17" s="927">
        <v>0</v>
      </c>
      <c r="Q17" s="927"/>
      <c r="R17" s="927">
        <f>P17-J17</f>
        <v>0</v>
      </c>
      <c r="S17" s="928">
        <f t="shared" ref="S17" si="4">P17-M17</f>
        <v>0</v>
      </c>
    </row>
    <row r="18" spans="1:19" s="690" customFormat="1" ht="22.5">
      <c r="A18" s="923"/>
      <c r="B18" s="924" t="s">
        <v>269</v>
      </c>
      <c r="C18" s="637" t="s">
        <v>270</v>
      </c>
      <c r="D18" s="646" t="s">
        <v>558</v>
      </c>
      <c r="E18" s="638">
        <v>5</v>
      </c>
      <c r="F18" s="638">
        <v>37753707</v>
      </c>
      <c r="G18" s="638">
        <v>7550741.4000000004</v>
      </c>
      <c r="H18" s="929">
        <v>0</v>
      </c>
      <c r="I18" s="929">
        <v>0</v>
      </c>
      <c r="J18" s="926">
        <v>0</v>
      </c>
      <c r="K18" s="926">
        <v>0</v>
      </c>
      <c r="L18" s="926">
        <v>0</v>
      </c>
      <c r="M18" s="926">
        <v>0</v>
      </c>
      <c r="N18" s="926">
        <v>0</v>
      </c>
      <c r="O18" s="929">
        <v>0</v>
      </c>
      <c r="P18" s="927">
        <v>0</v>
      </c>
      <c r="Q18" s="927">
        <v>0</v>
      </c>
      <c r="R18" s="927">
        <f>P18-J18</f>
        <v>0</v>
      </c>
      <c r="S18" s="928">
        <f>P18-M18</f>
        <v>0</v>
      </c>
    </row>
    <row r="19" spans="1:19" s="690" customFormat="1" ht="11.25">
      <c r="A19" s="923"/>
      <c r="B19" s="924" t="s">
        <v>177</v>
      </c>
      <c r="C19" s="637" t="s">
        <v>617</v>
      </c>
      <c r="D19" s="646" t="s">
        <v>618</v>
      </c>
      <c r="E19" s="638"/>
      <c r="F19" s="638">
        <v>0</v>
      </c>
      <c r="G19" s="638"/>
      <c r="H19" s="925">
        <v>2</v>
      </c>
      <c r="I19" s="638">
        <v>754450000</v>
      </c>
      <c r="J19" s="926">
        <f t="shared" si="0"/>
        <v>377225000</v>
      </c>
      <c r="K19" s="925">
        <v>2</v>
      </c>
      <c r="L19" s="638">
        <v>754450000</v>
      </c>
      <c r="M19" s="926">
        <f>L19/K19</f>
        <v>377225000</v>
      </c>
      <c r="N19" s="926"/>
      <c r="O19" s="926">
        <v>0</v>
      </c>
      <c r="P19" s="930"/>
      <c r="Q19" s="927">
        <f t="shared" ref="Q19:Q20" si="5">P19-G19</f>
        <v>0</v>
      </c>
      <c r="R19" s="927">
        <f t="shared" ref="R19" si="6">P19-J19</f>
        <v>-377225000</v>
      </c>
      <c r="S19" s="928">
        <f t="shared" ref="S19:S20" si="7">P19-M19</f>
        <v>-377225000</v>
      </c>
    </row>
    <row r="20" spans="1:19" s="557" customFormat="1" thickBot="1">
      <c r="A20" s="549"/>
      <c r="B20" s="550" t="s">
        <v>529</v>
      </c>
      <c r="C20" s="551" t="s">
        <v>68</v>
      </c>
      <c r="D20" s="552"/>
      <c r="E20" s="553"/>
      <c r="F20" s="553">
        <f t="shared" ref="F20:H20" si="8">SUM(F11:F19)</f>
        <v>1342870806</v>
      </c>
      <c r="G20" s="553">
        <f t="shared" si="8"/>
        <v>77526287.751839966</v>
      </c>
      <c r="H20" s="553">
        <f t="shared" si="8"/>
        <v>10985</v>
      </c>
      <c r="I20" s="553">
        <f>SUM(I11:I19)</f>
        <v>1757900000</v>
      </c>
      <c r="J20" s="553">
        <f t="shared" ref="J20:K20" si="9">SUM(J11:J19)</f>
        <v>391102030.16949153</v>
      </c>
      <c r="K20" s="553">
        <f t="shared" si="9"/>
        <v>10985</v>
      </c>
      <c r="L20" s="554">
        <f>SUM(L11:L19)</f>
        <v>1979624537</v>
      </c>
      <c r="M20" s="554">
        <f t="shared" ref="M20:N20" si="10">SUM(M11:M19)</f>
        <v>440589649.65969151</v>
      </c>
      <c r="N20" s="554">
        <f t="shared" si="10"/>
        <v>533</v>
      </c>
      <c r="O20" s="553">
        <f>SUM(O11:O19)</f>
        <v>248866549</v>
      </c>
      <c r="P20" s="553">
        <f>SUM(P11:P19)</f>
        <v>6565363.3728813557</v>
      </c>
      <c r="Q20" s="555">
        <f t="shared" si="5"/>
        <v>-70960924.378958613</v>
      </c>
      <c r="R20" s="555">
        <f>P20-J20</f>
        <v>-384536666.79661018</v>
      </c>
      <c r="S20" s="556">
        <f t="shared" si="7"/>
        <v>-434024286.28681016</v>
      </c>
    </row>
    <row r="21" spans="1:19" ht="15.75" thickTop="1">
      <c r="A21" s="536"/>
      <c r="B21" s="1567"/>
      <c r="C21" s="1567"/>
      <c r="D21" s="1567"/>
      <c r="E21" s="1567"/>
      <c r="F21" s="1567"/>
      <c r="G21" s="1567"/>
      <c r="H21" s="1567"/>
      <c r="I21" s="1567"/>
      <c r="J21" s="1567"/>
      <c r="K21" s="1567"/>
      <c r="L21" s="1567"/>
      <c r="M21" s="1567"/>
      <c r="N21" s="1567"/>
      <c r="O21" s="1567"/>
      <c r="P21" s="1567"/>
      <c r="Q21" s="1567"/>
      <c r="R21" s="1567"/>
      <c r="S21" s="1567"/>
    </row>
  </sheetData>
  <mergeCells count="17">
    <mergeCell ref="N7:P7"/>
    <mergeCell ref="Q7:S7"/>
    <mergeCell ref="B10:E10"/>
    <mergeCell ref="B21:S21"/>
    <mergeCell ref="B7:B8"/>
    <mergeCell ref="C7:C8"/>
    <mergeCell ref="D7:D8"/>
    <mergeCell ref="E7:G7"/>
    <mergeCell ref="H7:J7"/>
    <mergeCell ref="K7:M7"/>
    <mergeCell ref="C6:E6"/>
    <mergeCell ref="G6:S6"/>
    <mergeCell ref="B2:S2"/>
    <mergeCell ref="B3:S3"/>
    <mergeCell ref="B4:S4"/>
    <mergeCell ref="C5:E5"/>
    <mergeCell ref="G5:S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79998168889431442"/>
  </sheetPr>
  <dimension ref="A1:T19"/>
  <sheetViews>
    <sheetView workbookViewId="0">
      <selection activeCell="K14" sqref="K14"/>
    </sheetView>
  </sheetViews>
  <sheetFormatPr defaultRowHeight="11.25"/>
  <cols>
    <col min="1" max="2" width="9.140625" style="31"/>
    <col min="3" max="3" width="33.28515625" style="31" customWidth="1"/>
    <col min="4" max="4" width="7.5703125" style="31" customWidth="1"/>
    <col min="5" max="5" width="6.28515625" style="31" customWidth="1"/>
    <col min="6" max="6" width="12" style="31" customWidth="1"/>
    <col min="7" max="7" width="9.140625" style="783" customWidth="1"/>
    <col min="8" max="8" width="6.42578125" style="31" customWidth="1"/>
    <col min="9" max="9" width="13.140625" style="31" customWidth="1"/>
    <col min="10" max="10" width="8" style="31" customWidth="1"/>
    <col min="11" max="11" width="8.7109375" style="31" customWidth="1"/>
    <col min="12" max="12" width="11.140625" style="31" customWidth="1"/>
    <col min="13" max="13" width="10.28515625" style="459" customWidth="1"/>
    <col min="14" max="14" width="9.140625" style="31"/>
    <col min="15" max="15" width="11.7109375" style="31" customWidth="1"/>
    <col min="16" max="16" width="8.85546875" style="31" customWidth="1"/>
    <col min="17" max="17" width="9.7109375" style="31" customWidth="1"/>
    <col min="18" max="18" width="11.85546875" style="31" customWidth="1"/>
    <col min="19" max="19" width="9.140625" style="31"/>
    <col min="20" max="20" width="6" style="31" customWidth="1"/>
    <col min="21" max="16384" width="9.140625" style="31"/>
  </cols>
  <sheetData>
    <row r="1" spans="1:20">
      <c r="A1" s="827"/>
      <c r="B1" s="828"/>
      <c r="C1" s="827"/>
      <c r="D1" s="827"/>
      <c r="E1" s="827"/>
      <c r="F1" s="827"/>
      <c r="G1" s="855"/>
      <c r="H1" s="827"/>
      <c r="I1" s="827"/>
      <c r="J1" s="827"/>
      <c r="K1" s="827"/>
      <c r="L1" s="827"/>
      <c r="M1" s="460"/>
      <c r="N1" s="827"/>
      <c r="O1" s="827"/>
      <c r="P1" s="827"/>
      <c r="Q1" s="827"/>
      <c r="R1" s="827"/>
      <c r="S1" s="827"/>
    </row>
    <row r="2" spans="1:20">
      <c r="A2" s="827"/>
      <c r="B2" s="1573" t="s">
        <v>500</v>
      </c>
      <c r="C2" s="1573"/>
      <c r="D2" s="1573"/>
      <c r="E2" s="1573"/>
      <c r="F2" s="1573"/>
      <c r="G2" s="1573"/>
      <c r="H2" s="1573"/>
      <c r="I2" s="1573"/>
      <c r="J2" s="1573"/>
      <c r="K2" s="1573"/>
      <c r="L2" s="1573"/>
      <c r="M2" s="1573"/>
      <c r="N2" s="1573"/>
      <c r="O2" s="1573"/>
      <c r="P2" s="1573"/>
      <c r="Q2" s="1573"/>
      <c r="R2" s="1573"/>
      <c r="S2" s="1573"/>
    </row>
    <row r="3" spans="1:20">
      <c r="A3" s="827"/>
      <c r="B3" s="1574" t="s">
        <v>494</v>
      </c>
      <c r="C3" s="1574"/>
      <c r="D3" s="1574"/>
      <c r="E3" s="1574"/>
      <c r="F3" s="1574"/>
      <c r="G3" s="1574"/>
      <c r="H3" s="1574"/>
      <c r="I3" s="1574"/>
      <c r="J3" s="1574"/>
      <c r="K3" s="1574"/>
      <c r="L3" s="1574"/>
      <c r="M3" s="1574"/>
      <c r="N3" s="1574"/>
      <c r="O3" s="1574"/>
      <c r="P3" s="1574"/>
      <c r="Q3" s="1574"/>
      <c r="R3" s="1574"/>
      <c r="S3" s="1574"/>
    </row>
    <row r="4" spans="1:20" ht="12" thickBot="1">
      <c r="A4" s="828"/>
      <c r="B4" s="1575" t="s">
        <v>1</v>
      </c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</row>
    <row r="5" spans="1:20" ht="24.75" customHeight="1" thickTop="1">
      <c r="A5" s="827"/>
      <c r="B5" s="829" t="s">
        <v>113</v>
      </c>
      <c r="C5" s="1576" t="s">
        <v>160</v>
      </c>
      <c r="D5" s="1576"/>
      <c r="E5" s="1576"/>
      <c r="F5" s="830" t="s">
        <v>3</v>
      </c>
      <c r="G5" s="1577" t="s">
        <v>179</v>
      </c>
      <c r="H5" s="1577"/>
      <c r="I5" s="1577"/>
      <c r="J5" s="1577"/>
      <c r="K5" s="1577"/>
      <c r="L5" s="1577"/>
      <c r="M5" s="1577"/>
      <c r="N5" s="1577"/>
      <c r="O5" s="1577"/>
      <c r="P5" s="1577"/>
      <c r="Q5" s="1577"/>
      <c r="R5" s="1577"/>
      <c r="S5" s="1577"/>
    </row>
    <row r="6" spans="1:20" ht="24" customHeight="1">
      <c r="A6" s="827"/>
      <c r="B6" s="831" t="s">
        <v>114</v>
      </c>
      <c r="C6" s="1578" t="s">
        <v>156</v>
      </c>
      <c r="D6" s="1578"/>
      <c r="E6" s="1578"/>
      <c r="F6" s="832" t="s">
        <v>115</v>
      </c>
      <c r="G6" s="1579" t="s">
        <v>155</v>
      </c>
      <c r="H6" s="1579"/>
      <c r="I6" s="1579"/>
      <c r="J6" s="1579"/>
      <c r="K6" s="1579"/>
      <c r="L6" s="1579"/>
      <c r="M6" s="1579"/>
      <c r="N6" s="1579"/>
      <c r="O6" s="1579"/>
      <c r="P6" s="1579"/>
      <c r="Q6" s="1579"/>
      <c r="R6" s="1579"/>
      <c r="S6" s="1579"/>
    </row>
    <row r="7" spans="1:20" ht="15" customHeight="1">
      <c r="A7" s="827"/>
      <c r="B7" s="1582" t="s">
        <v>501</v>
      </c>
      <c r="C7" s="1569" t="s">
        <v>502</v>
      </c>
      <c r="D7" s="1570" t="s">
        <v>503</v>
      </c>
      <c r="E7" s="1572" t="s">
        <v>117</v>
      </c>
      <c r="F7" s="1572"/>
      <c r="G7" s="1572"/>
      <c r="H7" s="1572" t="s">
        <v>504</v>
      </c>
      <c r="I7" s="1572"/>
      <c r="J7" s="1572"/>
      <c r="K7" s="1572" t="s">
        <v>504</v>
      </c>
      <c r="L7" s="1572"/>
      <c r="M7" s="1572"/>
      <c r="N7" s="1572" t="s">
        <v>504</v>
      </c>
      <c r="O7" s="1572"/>
      <c r="P7" s="1572"/>
      <c r="Q7" s="1580" t="s">
        <v>505</v>
      </c>
      <c r="R7" s="1580"/>
      <c r="S7" s="1580"/>
    </row>
    <row r="8" spans="1:20" ht="78.75">
      <c r="A8" s="827"/>
      <c r="B8" s="1582"/>
      <c r="C8" s="1569"/>
      <c r="D8" s="1570"/>
      <c r="E8" s="833" t="s">
        <v>506</v>
      </c>
      <c r="F8" s="834" t="s">
        <v>507</v>
      </c>
      <c r="G8" s="856" t="s">
        <v>508</v>
      </c>
      <c r="H8" s="835" t="s">
        <v>509</v>
      </c>
      <c r="I8" s="834" t="s">
        <v>510</v>
      </c>
      <c r="J8" s="836" t="s">
        <v>511</v>
      </c>
      <c r="K8" s="835" t="s">
        <v>512</v>
      </c>
      <c r="L8" s="834" t="s">
        <v>513</v>
      </c>
      <c r="M8" s="461" t="s">
        <v>514</v>
      </c>
      <c r="N8" s="835" t="s">
        <v>515</v>
      </c>
      <c r="O8" s="834" t="s">
        <v>516</v>
      </c>
      <c r="P8" s="836" t="s">
        <v>517</v>
      </c>
      <c r="Q8" s="835" t="s">
        <v>518</v>
      </c>
      <c r="R8" s="834" t="s">
        <v>519</v>
      </c>
      <c r="S8" s="837" t="s">
        <v>520</v>
      </c>
    </row>
    <row r="9" spans="1:20" ht="12" thickBot="1">
      <c r="A9" s="827"/>
      <c r="B9" s="838"/>
      <c r="C9" s="839"/>
      <c r="D9" s="839"/>
      <c r="E9" s="839" t="s">
        <v>13</v>
      </c>
      <c r="F9" s="839" t="s">
        <v>14</v>
      </c>
      <c r="G9" s="857" t="s">
        <v>15</v>
      </c>
      <c r="H9" s="839" t="s">
        <v>16</v>
      </c>
      <c r="I9" s="839" t="s">
        <v>17</v>
      </c>
      <c r="J9" s="839" t="s">
        <v>18</v>
      </c>
      <c r="K9" s="839" t="s">
        <v>521</v>
      </c>
      <c r="L9" s="839" t="s">
        <v>20</v>
      </c>
      <c r="M9" s="462" t="s">
        <v>21</v>
      </c>
      <c r="N9" s="839" t="s">
        <v>522</v>
      </c>
      <c r="O9" s="839" t="s">
        <v>523</v>
      </c>
      <c r="P9" s="839" t="s">
        <v>524</v>
      </c>
      <c r="Q9" s="839" t="s">
        <v>525</v>
      </c>
      <c r="R9" s="839" t="s">
        <v>526</v>
      </c>
      <c r="S9" s="840" t="s">
        <v>527</v>
      </c>
    </row>
    <row r="10" spans="1:20" ht="30.75" customHeight="1" thickTop="1">
      <c r="A10" s="827"/>
      <c r="B10" s="1581" t="s">
        <v>528</v>
      </c>
      <c r="C10" s="1581"/>
      <c r="D10" s="465"/>
      <c r="E10" s="841"/>
      <c r="F10" s="841"/>
      <c r="G10" s="858"/>
      <c r="H10" s="465"/>
      <c r="I10" s="466"/>
      <c r="J10" s="842"/>
      <c r="K10" s="465"/>
      <c r="L10" s="466"/>
      <c r="M10" s="463"/>
      <c r="N10" s="465"/>
      <c r="O10" s="466"/>
      <c r="P10" s="464"/>
      <c r="Q10" s="465"/>
      <c r="R10" s="466"/>
      <c r="S10" s="467"/>
    </row>
    <row r="11" spans="1:20" ht="22.5">
      <c r="A11" s="827"/>
      <c r="B11" s="843" t="s">
        <v>180</v>
      </c>
      <c r="C11" s="844" t="s">
        <v>181</v>
      </c>
      <c r="D11" s="1703" t="s">
        <v>532</v>
      </c>
      <c r="E11" s="1704">
        <v>25493.909979733191</v>
      </c>
      <c r="F11" s="903">
        <v>2283025693</v>
      </c>
      <c r="G11" s="1704">
        <f>F11/E11</f>
        <v>89551.806482996501</v>
      </c>
      <c r="H11" s="1704">
        <v>24536</v>
      </c>
      <c r="I11" s="845">
        <v>1799943251</v>
      </c>
      <c r="J11" s="475">
        <f>G11</f>
        <v>89551.806482996501</v>
      </c>
      <c r="K11" s="846">
        <f>H11</f>
        <v>24536</v>
      </c>
      <c r="L11" s="845">
        <v>1799943251</v>
      </c>
      <c r="M11" s="730">
        <f>L11/K11</f>
        <v>73359.27824421259</v>
      </c>
      <c r="N11" s="847">
        <f>K11/3</f>
        <v>8178.666666666667</v>
      </c>
      <c r="O11" s="848">
        <v>692291000</v>
      </c>
      <c r="P11" s="475">
        <f>M11</f>
        <v>73359.27824421259</v>
      </c>
      <c r="Q11" s="730">
        <f>P11-G11</f>
        <v>-16192.528238783911</v>
      </c>
      <c r="R11" s="730">
        <f>P11-J11</f>
        <v>-16192.528238783911</v>
      </c>
      <c r="S11" s="849">
        <f>P11-M11</f>
        <v>0</v>
      </c>
      <c r="T11" s="850"/>
    </row>
    <row r="12" spans="1:20" ht="33.75">
      <c r="A12" s="827"/>
      <c r="B12" s="843" t="s">
        <v>182</v>
      </c>
      <c r="C12" s="844" t="s">
        <v>533</v>
      </c>
      <c r="D12" s="1703" t="s">
        <v>534</v>
      </c>
      <c r="E12" s="1704">
        <v>211.62893035822424</v>
      </c>
      <c r="F12" s="903">
        <v>81125683</v>
      </c>
      <c r="G12" s="1704">
        <f t="shared" ref="G12:G15" si="0">F12/E12</f>
        <v>383339.28571428574</v>
      </c>
      <c r="H12" s="1704">
        <v>211</v>
      </c>
      <c r="I12" s="845">
        <v>84438886</v>
      </c>
      <c r="J12" s="475">
        <f t="shared" ref="J12:J15" si="1">G12</f>
        <v>383339.28571428574</v>
      </c>
      <c r="K12" s="846">
        <f t="shared" ref="K12:K15" si="2">H12</f>
        <v>211</v>
      </c>
      <c r="L12" s="845">
        <v>84438886</v>
      </c>
      <c r="M12" s="730">
        <f t="shared" ref="M12:M15" si="3">L12/K12</f>
        <v>400184.29383886256</v>
      </c>
      <c r="N12" s="847">
        <f t="shared" ref="N12:N15" si="4">K12/3</f>
        <v>70.333333333333329</v>
      </c>
      <c r="O12" s="848">
        <v>32477000</v>
      </c>
      <c r="P12" s="475">
        <f>M12</f>
        <v>400184.29383886256</v>
      </c>
      <c r="Q12" s="730">
        <f>P12-G12</f>
        <v>16845.008124576823</v>
      </c>
      <c r="R12" s="730">
        <f>P12-J12</f>
        <v>16845.008124576823</v>
      </c>
      <c r="S12" s="849">
        <f>P12-M12</f>
        <v>0</v>
      </c>
      <c r="T12" s="850"/>
    </row>
    <row r="13" spans="1:20" ht="33.75">
      <c r="A13" s="827"/>
      <c r="B13" s="843" t="s">
        <v>183</v>
      </c>
      <c r="C13" s="844" t="s">
        <v>535</v>
      </c>
      <c r="D13" s="1703" t="s">
        <v>534</v>
      </c>
      <c r="E13" s="1704">
        <v>256.94077290581384</v>
      </c>
      <c r="F13" s="903">
        <v>67079294</v>
      </c>
      <c r="G13" s="1704">
        <f t="shared" si="0"/>
        <v>261069.09090909091</v>
      </c>
      <c r="H13" s="1704">
        <v>186</v>
      </c>
      <c r="I13" s="845">
        <v>57919456</v>
      </c>
      <c r="J13" s="475">
        <f t="shared" si="1"/>
        <v>261069.09090909091</v>
      </c>
      <c r="K13" s="846">
        <f t="shared" si="2"/>
        <v>186</v>
      </c>
      <c r="L13" s="845">
        <v>57919456</v>
      </c>
      <c r="M13" s="730">
        <f t="shared" si="3"/>
        <v>311394.92473118281</v>
      </c>
      <c r="N13" s="847">
        <f t="shared" si="4"/>
        <v>62</v>
      </c>
      <c r="O13" s="848">
        <v>22277000</v>
      </c>
      <c r="P13" s="475">
        <f>M13</f>
        <v>311394.92473118281</v>
      </c>
      <c r="Q13" s="730">
        <f>P13-G13</f>
        <v>50325.833822091896</v>
      </c>
      <c r="R13" s="730">
        <f>P13-J13</f>
        <v>50325.833822091896</v>
      </c>
      <c r="S13" s="849">
        <f>P13-M13</f>
        <v>0</v>
      </c>
      <c r="T13" s="850"/>
    </row>
    <row r="14" spans="1:20" ht="33.75">
      <c r="A14" s="827"/>
      <c r="B14" s="843" t="s">
        <v>184</v>
      </c>
      <c r="C14" s="844" t="s">
        <v>536</v>
      </c>
      <c r="D14" s="1703" t="s">
        <v>534</v>
      </c>
      <c r="E14" s="1704">
        <v>60.304445254869457</v>
      </c>
      <c r="F14" s="903">
        <v>13991791</v>
      </c>
      <c r="G14" s="1704">
        <f t="shared" si="0"/>
        <v>232019.23076923078</v>
      </c>
      <c r="H14" s="1704">
        <v>52</v>
      </c>
      <c r="I14" s="845">
        <v>13650961</v>
      </c>
      <c r="J14" s="475">
        <f t="shared" si="1"/>
        <v>232019.23076923078</v>
      </c>
      <c r="K14" s="846">
        <f t="shared" si="2"/>
        <v>52</v>
      </c>
      <c r="L14" s="845">
        <v>13650961</v>
      </c>
      <c r="M14" s="730">
        <f t="shared" si="3"/>
        <v>262518.48076923075</v>
      </c>
      <c r="N14" s="847">
        <f t="shared" si="4"/>
        <v>17.333333333333332</v>
      </c>
      <c r="O14" s="848">
        <v>5247000</v>
      </c>
      <c r="P14" s="475">
        <f>M14</f>
        <v>262518.48076923075</v>
      </c>
      <c r="Q14" s="730">
        <f>P14-G14</f>
        <v>30499.249999999971</v>
      </c>
      <c r="R14" s="730">
        <f>P14-J14</f>
        <v>30499.249999999971</v>
      </c>
      <c r="S14" s="849">
        <f>P14-M14</f>
        <v>0</v>
      </c>
      <c r="T14" s="850"/>
    </row>
    <row r="15" spans="1:20" ht="33.75">
      <c r="A15" s="827"/>
      <c r="B15" s="843" t="s">
        <v>185</v>
      </c>
      <c r="C15" s="844" t="s">
        <v>537</v>
      </c>
      <c r="D15" s="1703" t="s">
        <v>538</v>
      </c>
      <c r="E15" s="1704">
        <v>5767.0332594715373</v>
      </c>
      <c r="F15" s="903">
        <v>2783735539</v>
      </c>
      <c r="G15" s="1704">
        <f t="shared" si="0"/>
        <v>482698.02058590658</v>
      </c>
      <c r="H15" s="1704">
        <v>5671</v>
      </c>
      <c r="I15" s="845">
        <v>3244047446</v>
      </c>
      <c r="J15" s="475">
        <f t="shared" si="1"/>
        <v>482698.02058590658</v>
      </c>
      <c r="K15" s="846">
        <f t="shared" si="2"/>
        <v>5671</v>
      </c>
      <c r="L15" s="845">
        <v>3244047446</v>
      </c>
      <c r="M15" s="730">
        <f t="shared" si="3"/>
        <v>572041.51754540647</v>
      </c>
      <c r="N15" s="847">
        <f t="shared" si="4"/>
        <v>1890.3333333333333</v>
      </c>
      <c r="O15" s="848">
        <v>1247708000</v>
      </c>
      <c r="P15" s="475">
        <f>M15</f>
        <v>572041.51754540647</v>
      </c>
      <c r="Q15" s="730">
        <f>P15-G15</f>
        <v>89343.496959499898</v>
      </c>
      <c r="R15" s="730">
        <f>P15-J15</f>
        <v>89343.496959499898</v>
      </c>
      <c r="S15" s="849">
        <f>P15-M15</f>
        <v>0</v>
      </c>
      <c r="T15" s="850"/>
    </row>
    <row r="16" spans="1:20" ht="30" customHeight="1">
      <c r="A16" s="827"/>
      <c r="B16" s="843" t="s">
        <v>529</v>
      </c>
      <c r="C16" s="844" t="s">
        <v>68</v>
      </c>
      <c r="D16" s="1705"/>
      <c r="E16" s="851"/>
      <c r="F16" s="852">
        <v>5228958000</v>
      </c>
      <c r="G16" s="859"/>
      <c r="H16" s="853"/>
      <c r="I16" s="853">
        <f>SUM(I11:I15)</f>
        <v>5200000000</v>
      </c>
      <c r="J16" s="853"/>
      <c r="K16" s="853"/>
      <c r="L16" s="853">
        <f>SUM(L11:L15)</f>
        <v>5200000000</v>
      </c>
      <c r="M16" s="475"/>
      <c r="N16" s="853"/>
      <c r="O16" s="853">
        <f>SUM(O11:O15)</f>
        <v>2000000000</v>
      </c>
      <c r="P16" s="854"/>
      <c r="Q16" s="730"/>
      <c r="R16" s="730"/>
      <c r="S16" s="849"/>
      <c r="T16" s="850"/>
    </row>
    <row r="17" spans="1:19" ht="27.75" customHeight="1" thickBot="1">
      <c r="A17" s="827"/>
      <c r="B17" s="1581" t="s">
        <v>539</v>
      </c>
      <c r="C17" s="1581"/>
      <c r="D17" s="1706"/>
      <c r="E17" s="1707"/>
      <c r="F17" s="1708"/>
      <c r="G17" s="1709"/>
      <c r="H17" s="1708"/>
      <c r="I17" s="1710"/>
      <c r="J17" s="1711"/>
      <c r="K17" s="1708"/>
      <c r="L17" s="1710"/>
      <c r="M17" s="1712"/>
      <c r="N17" s="1708"/>
      <c r="O17" s="1710"/>
      <c r="P17" s="471"/>
      <c r="Q17" s="472"/>
      <c r="R17" s="473"/>
      <c r="S17" s="474"/>
    </row>
    <row r="18" spans="1:19" ht="12" thickTop="1">
      <c r="A18" s="827"/>
      <c r="B18" s="1571"/>
      <c r="C18" s="1571"/>
      <c r="D18" s="1571"/>
      <c r="E18" s="1571"/>
      <c r="F18" s="1571"/>
      <c r="G18" s="1571"/>
      <c r="H18" s="1571"/>
      <c r="I18" s="1571"/>
      <c r="J18" s="1571"/>
      <c r="K18" s="1571"/>
      <c r="L18" s="1571"/>
      <c r="M18" s="1571"/>
      <c r="N18" s="1571"/>
      <c r="O18" s="1571"/>
      <c r="P18" s="1571"/>
      <c r="Q18" s="1571"/>
      <c r="R18" s="1571"/>
      <c r="S18" s="1571"/>
    </row>
    <row r="19" spans="1:19">
      <c r="A19" s="827"/>
      <c r="B19" s="828"/>
      <c r="C19" s="827"/>
      <c r="D19" s="827"/>
      <c r="E19" s="827"/>
      <c r="F19" s="827"/>
      <c r="G19" s="855"/>
      <c r="H19" s="827"/>
      <c r="I19" s="827"/>
      <c r="J19" s="827"/>
      <c r="K19" s="827"/>
      <c r="L19" s="827"/>
      <c r="M19" s="468"/>
      <c r="N19" s="827"/>
      <c r="O19" s="827"/>
      <c r="P19" s="827"/>
      <c r="Q19" s="827"/>
      <c r="R19" s="827"/>
      <c r="S19" s="827"/>
    </row>
  </sheetData>
  <mergeCells count="18">
    <mergeCell ref="C6:E6"/>
    <mergeCell ref="G6:S6"/>
    <mergeCell ref="N7:P7"/>
    <mergeCell ref="Q7:S7"/>
    <mergeCell ref="E7:G7"/>
    <mergeCell ref="B2:S2"/>
    <mergeCell ref="B3:S3"/>
    <mergeCell ref="B4:S4"/>
    <mergeCell ref="C5:E5"/>
    <mergeCell ref="G5:S5"/>
    <mergeCell ref="C7:C8"/>
    <mergeCell ref="D7:D8"/>
    <mergeCell ref="B18:S18"/>
    <mergeCell ref="H7:J7"/>
    <mergeCell ref="K7:M7"/>
    <mergeCell ref="B10:C10"/>
    <mergeCell ref="B17:C17"/>
    <mergeCell ref="B7:B8"/>
  </mergeCells>
  <pageMargins left="0.17" right="0.17" top="0.75" bottom="0.75" header="0.3" footer="0.3"/>
  <pageSetup paperSize="9" scale="7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79998168889431442"/>
  </sheetPr>
  <dimension ref="A1:P63"/>
  <sheetViews>
    <sheetView workbookViewId="0">
      <selection activeCell="O24" sqref="O24"/>
    </sheetView>
  </sheetViews>
  <sheetFormatPr defaultRowHeight="15"/>
  <cols>
    <col min="1" max="1" width="3.28515625" customWidth="1"/>
    <col min="2" max="2" width="15" customWidth="1"/>
    <col min="3" max="3" width="49.140625" customWidth="1"/>
    <col min="4" max="4" width="22.42578125" bestFit="1" customWidth="1"/>
    <col min="5" max="5" width="8.28515625" customWidth="1"/>
    <col min="6" max="6" width="14" customWidth="1"/>
    <col min="7" max="7" width="10.85546875" bestFit="1" customWidth="1"/>
    <col min="8" max="8" width="7.5703125" customWidth="1"/>
    <col min="9" max="10" width="13.5703125" customWidth="1"/>
    <col min="11" max="11" width="10.140625" bestFit="1" customWidth="1"/>
    <col min="12" max="12" width="15.140625" customWidth="1"/>
    <col min="13" max="13" width="14.140625" customWidth="1"/>
    <col min="14" max="14" width="14.5703125" bestFit="1" customWidth="1"/>
    <col min="15" max="16" width="16.140625" customWidth="1"/>
  </cols>
  <sheetData>
    <row r="1" spans="1:16">
      <c r="A1" s="2"/>
      <c r="B1" s="694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/>
      <c r="B2" s="1527" t="s">
        <v>500</v>
      </c>
      <c r="C2" s="1527"/>
      <c r="D2" s="1527"/>
      <c r="E2" s="1527"/>
      <c r="F2" s="1527"/>
      <c r="G2" s="1527"/>
      <c r="H2" s="1527"/>
      <c r="I2" s="1527"/>
      <c r="J2" s="1527"/>
      <c r="K2" s="1527"/>
      <c r="L2" s="1527"/>
      <c r="M2" s="1527"/>
      <c r="N2" s="1527"/>
      <c r="O2" s="1527"/>
      <c r="P2" s="1527"/>
    </row>
    <row r="3" spans="1:16">
      <c r="A3" s="2"/>
      <c r="B3" s="1528" t="s">
        <v>498</v>
      </c>
      <c r="C3" s="1528"/>
      <c r="D3" s="1528"/>
      <c r="E3" s="1528"/>
      <c r="F3" s="1528"/>
      <c r="G3" s="1528"/>
      <c r="H3" s="1528"/>
      <c r="I3" s="1528"/>
      <c r="J3" s="1528"/>
      <c r="K3" s="1528"/>
      <c r="L3" s="1528"/>
      <c r="M3" s="1528"/>
      <c r="N3" s="1528"/>
      <c r="O3" s="1528"/>
      <c r="P3" s="1528"/>
    </row>
    <row r="4" spans="1:16" ht="15.75" thickBot="1">
      <c r="A4" s="694"/>
      <c r="B4" s="1529" t="s">
        <v>1</v>
      </c>
      <c r="C4" s="1529"/>
      <c r="D4" s="1529"/>
      <c r="E4" s="1529"/>
      <c r="F4" s="1529"/>
      <c r="G4" s="1529"/>
      <c r="H4" s="1529"/>
      <c r="I4" s="1529"/>
      <c r="J4" s="1529"/>
      <c r="K4" s="1529"/>
      <c r="L4" s="1529"/>
      <c r="M4" s="1529"/>
      <c r="N4" s="1529"/>
      <c r="O4" s="1529"/>
      <c r="P4" s="1529"/>
    </row>
    <row r="5" spans="1:16" ht="15.75" thickTop="1">
      <c r="A5" s="2"/>
      <c r="B5" s="558" t="s">
        <v>113</v>
      </c>
      <c r="C5" s="1585" t="s">
        <v>160</v>
      </c>
      <c r="D5" s="1585"/>
      <c r="E5" s="1585"/>
      <c r="F5" s="559" t="s">
        <v>3</v>
      </c>
      <c r="G5" s="1586" t="s">
        <v>179</v>
      </c>
      <c r="H5" s="1586"/>
      <c r="I5" s="1586"/>
      <c r="J5" s="1586"/>
      <c r="K5" s="1586"/>
      <c r="L5" s="1586"/>
      <c r="M5" s="1586"/>
      <c r="N5" s="1586"/>
      <c r="O5" s="1586"/>
      <c r="P5" s="1586"/>
    </row>
    <row r="6" spans="1:16">
      <c r="A6" s="2"/>
      <c r="B6" s="560" t="s">
        <v>114</v>
      </c>
      <c r="C6" s="1583" t="s">
        <v>158</v>
      </c>
      <c r="D6" s="1583"/>
      <c r="E6" s="1583"/>
      <c r="F6" s="561" t="s">
        <v>115</v>
      </c>
      <c r="G6" s="1584" t="s">
        <v>157</v>
      </c>
      <c r="H6" s="1584"/>
      <c r="I6" s="1584"/>
      <c r="J6" s="1584"/>
      <c r="K6" s="1584"/>
      <c r="L6" s="1584"/>
      <c r="M6" s="1584"/>
      <c r="N6" s="1584"/>
      <c r="O6" s="1584"/>
      <c r="P6" s="1584"/>
    </row>
    <row r="7" spans="1:16">
      <c r="A7" s="2"/>
      <c r="B7" s="1589" t="s">
        <v>501</v>
      </c>
      <c r="C7" s="1590" t="s">
        <v>502</v>
      </c>
      <c r="D7" s="1591" t="s">
        <v>503</v>
      </c>
      <c r="E7" s="1307" t="s">
        <v>117</v>
      </c>
      <c r="F7" s="1307"/>
      <c r="G7" s="1307"/>
      <c r="H7" s="1307" t="s">
        <v>504</v>
      </c>
      <c r="I7" s="1307"/>
      <c r="J7" s="1307"/>
      <c r="K7" s="1307" t="s">
        <v>504</v>
      </c>
      <c r="L7" s="1307"/>
      <c r="M7" s="1307"/>
      <c r="N7" s="1307" t="s">
        <v>504</v>
      </c>
      <c r="O7" s="1307"/>
      <c r="P7" s="1307"/>
    </row>
    <row r="8" spans="1:16" ht="45">
      <c r="A8" s="2"/>
      <c r="B8" s="1589"/>
      <c r="C8" s="1590"/>
      <c r="D8" s="1591"/>
      <c r="E8" s="3" t="s">
        <v>506</v>
      </c>
      <c r="F8" s="562" t="s">
        <v>507</v>
      </c>
      <c r="G8" s="6" t="s">
        <v>508</v>
      </c>
      <c r="H8" s="5" t="s">
        <v>509</v>
      </c>
      <c r="I8" s="562" t="s">
        <v>510</v>
      </c>
      <c r="J8" s="563" t="s">
        <v>511</v>
      </c>
      <c r="K8" s="5" t="s">
        <v>512</v>
      </c>
      <c r="L8" s="562" t="s">
        <v>513</v>
      </c>
      <c r="M8" s="563" t="s">
        <v>514</v>
      </c>
      <c r="N8" s="5" t="s">
        <v>515</v>
      </c>
      <c r="O8" s="562" t="s">
        <v>516</v>
      </c>
      <c r="P8" s="563" t="s">
        <v>517</v>
      </c>
    </row>
    <row r="9" spans="1:16" ht="15.75" thickBot="1">
      <c r="A9" s="2"/>
      <c r="B9" s="691"/>
      <c r="C9" s="8"/>
      <c r="D9" s="8"/>
      <c r="E9" s="8" t="s">
        <v>13</v>
      </c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521</v>
      </c>
      <c r="L9" s="8" t="s">
        <v>20</v>
      </c>
      <c r="M9" s="8" t="s">
        <v>21</v>
      </c>
      <c r="N9" s="8" t="s">
        <v>522</v>
      </c>
      <c r="O9" s="8" t="s">
        <v>523</v>
      </c>
      <c r="P9" s="8" t="s">
        <v>524</v>
      </c>
    </row>
    <row r="10" spans="1:16" ht="15.75" thickTop="1">
      <c r="A10" s="2"/>
      <c r="B10" s="1587" t="s">
        <v>528</v>
      </c>
      <c r="C10" s="1587"/>
      <c r="D10" s="564"/>
      <c r="E10" s="565"/>
      <c r="F10" s="564"/>
      <c r="G10" s="565"/>
      <c r="H10" s="564"/>
      <c r="I10" s="565"/>
      <c r="J10" s="566"/>
      <c r="K10" s="564"/>
      <c r="L10" s="565"/>
      <c r="M10" s="566"/>
      <c r="N10" s="564"/>
      <c r="O10" s="565"/>
      <c r="P10" s="566"/>
    </row>
    <row r="11" spans="1:16" s="59" customFormat="1">
      <c r="A11" s="2"/>
      <c r="B11" s="567" t="s">
        <v>277</v>
      </c>
      <c r="C11" s="568" t="s">
        <v>619</v>
      </c>
      <c r="D11" s="569" t="s">
        <v>620</v>
      </c>
      <c r="E11" s="570">
        <v>1733.054971367982</v>
      </c>
      <c r="F11" s="570">
        <v>362149936</v>
      </c>
      <c r="G11" s="570">
        <f>F11/E11</f>
        <v>208966.21398808717</v>
      </c>
      <c r="H11" s="571">
        <v>20771</v>
      </c>
      <c r="I11" s="571">
        <v>611890000</v>
      </c>
      <c r="J11" s="571">
        <f>I11/H11</f>
        <v>29458.860911848249</v>
      </c>
      <c r="K11" s="571">
        <v>20771</v>
      </c>
      <c r="L11" s="571">
        <v>611890000</v>
      </c>
      <c r="M11" s="571">
        <f>L11/K11</f>
        <v>29458.860911848249</v>
      </c>
      <c r="N11" s="571">
        <v>2176.4928451192209</v>
      </c>
      <c r="O11" s="571">
        <v>64117396</v>
      </c>
      <c r="P11" s="572">
        <f>O11/N11</f>
        <v>29459.042855933611</v>
      </c>
    </row>
    <row r="12" spans="1:16" s="59" customFormat="1">
      <c r="A12" s="2"/>
      <c r="B12" s="567" t="s">
        <v>278</v>
      </c>
      <c r="C12" s="568" t="s">
        <v>621</v>
      </c>
      <c r="D12" s="569" t="s">
        <v>622</v>
      </c>
      <c r="E12" s="570">
        <v>120.73429768756942</v>
      </c>
      <c r="F12" s="570">
        <v>428286063</v>
      </c>
      <c r="G12" s="570">
        <f t="shared" ref="G12:G51" si="0">F12/E12</f>
        <v>3547343.8053890755</v>
      </c>
      <c r="H12" s="571">
        <v>1380</v>
      </c>
      <c r="I12" s="571">
        <v>500000000</v>
      </c>
      <c r="J12" s="571">
        <f t="shared" ref="J12:J51" si="1">I12/H12</f>
        <v>362318.84057971014</v>
      </c>
      <c r="K12" s="571">
        <v>1380</v>
      </c>
      <c r="L12" s="571">
        <v>500000000</v>
      </c>
      <c r="M12" s="571">
        <f t="shared" ref="M12:M51" si="2">L12/K12</f>
        <v>362318.84057971014</v>
      </c>
      <c r="N12" s="571">
        <v>24.762720000000002</v>
      </c>
      <c r="O12" s="571">
        <v>8971865</v>
      </c>
      <c r="P12" s="572">
        <f t="shared" ref="P12:P46" si="3">O12/N12</f>
        <v>362313.38883612136</v>
      </c>
    </row>
    <row r="13" spans="1:16" s="579" customFormat="1">
      <c r="A13" s="573"/>
      <c r="B13" s="574" t="s">
        <v>280</v>
      </c>
      <c r="C13" s="575" t="s">
        <v>281</v>
      </c>
      <c r="D13" s="576" t="s">
        <v>562</v>
      </c>
      <c r="E13" s="577">
        <v>94806</v>
      </c>
      <c r="F13" s="577">
        <v>94806797</v>
      </c>
      <c r="G13" s="577">
        <f t="shared" si="0"/>
        <v>1000.0084066409299</v>
      </c>
      <c r="H13" s="578">
        <v>0</v>
      </c>
      <c r="I13" s="578">
        <v>0</v>
      </c>
      <c r="J13" s="578"/>
      <c r="K13" s="578">
        <v>0</v>
      </c>
      <c r="L13" s="578">
        <v>0</v>
      </c>
      <c r="M13" s="578"/>
      <c r="N13" s="578">
        <v>0</v>
      </c>
      <c r="O13" s="578">
        <v>0</v>
      </c>
      <c r="P13" s="743"/>
    </row>
    <row r="14" spans="1:16" s="579" customFormat="1">
      <c r="A14" s="573"/>
      <c r="B14" s="574" t="s">
        <v>282</v>
      </c>
      <c r="C14" s="575" t="s">
        <v>283</v>
      </c>
      <c r="D14" s="576" t="s">
        <v>559</v>
      </c>
      <c r="E14" s="577">
        <v>12</v>
      </c>
      <c r="F14" s="577">
        <v>161844823.26999998</v>
      </c>
      <c r="G14" s="577">
        <f t="shared" si="0"/>
        <v>13487068.605833331</v>
      </c>
      <c r="H14" s="578">
        <v>0</v>
      </c>
      <c r="I14" s="578">
        <v>0</v>
      </c>
      <c r="J14" s="578"/>
      <c r="K14" s="578">
        <v>0</v>
      </c>
      <c r="L14" s="578">
        <v>0</v>
      </c>
      <c r="M14" s="578"/>
      <c r="N14" s="578">
        <v>0</v>
      </c>
      <c r="O14" s="578">
        <v>0</v>
      </c>
      <c r="P14" s="743"/>
    </row>
    <row r="15" spans="1:16" s="579" customFormat="1">
      <c r="A15" s="573"/>
      <c r="B15" s="574" t="s">
        <v>284</v>
      </c>
      <c r="C15" s="575" t="s">
        <v>285</v>
      </c>
      <c r="D15" s="576" t="s">
        <v>623</v>
      </c>
      <c r="E15" s="577">
        <v>33</v>
      </c>
      <c r="F15" s="577">
        <v>749555215.47000003</v>
      </c>
      <c r="G15" s="577">
        <f t="shared" si="0"/>
        <v>22713794.40818182</v>
      </c>
      <c r="H15" s="578">
        <v>0</v>
      </c>
      <c r="I15" s="578">
        <v>0</v>
      </c>
      <c r="J15" s="578"/>
      <c r="K15" s="578">
        <v>0</v>
      </c>
      <c r="L15" s="578">
        <v>0</v>
      </c>
      <c r="M15" s="578"/>
      <c r="N15" s="578">
        <v>0</v>
      </c>
      <c r="O15" s="578">
        <v>0</v>
      </c>
      <c r="P15" s="743"/>
    </row>
    <row r="16" spans="1:16" s="579" customFormat="1">
      <c r="A16" s="573"/>
      <c r="B16" s="574" t="s">
        <v>288</v>
      </c>
      <c r="C16" s="575" t="s">
        <v>289</v>
      </c>
      <c r="D16" s="576" t="s">
        <v>562</v>
      </c>
      <c r="E16" s="577">
        <v>930</v>
      </c>
      <c r="F16" s="577">
        <v>63237120</v>
      </c>
      <c r="G16" s="577">
        <f t="shared" si="0"/>
        <v>67996.903225806454</v>
      </c>
      <c r="H16" s="578">
        <v>0</v>
      </c>
      <c r="I16" s="578">
        <v>0</v>
      </c>
      <c r="J16" s="578"/>
      <c r="K16" s="578">
        <v>0</v>
      </c>
      <c r="L16" s="578">
        <v>0</v>
      </c>
      <c r="M16" s="578"/>
      <c r="N16" s="578">
        <v>0</v>
      </c>
      <c r="O16" s="578">
        <v>0</v>
      </c>
      <c r="P16" s="743"/>
    </row>
    <row r="17" spans="1:16" s="579" customFormat="1">
      <c r="A17" s="573"/>
      <c r="B17" s="574" t="s">
        <v>290</v>
      </c>
      <c r="C17" s="575" t="s">
        <v>291</v>
      </c>
      <c r="D17" s="576" t="s">
        <v>624</v>
      </c>
      <c r="E17" s="577">
        <v>4</v>
      </c>
      <c r="F17" s="577">
        <v>17988000</v>
      </c>
      <c r="G17" s="577">
        <f t="shared" si="0"/>
        <v>4497000</v>
      </c>
      <c r="H17" s="578">
        <v>0</v>
      </c>
      <c r="I17" s="578">
        <v>0</v>
      </c>
      <c r="J17" s="578"/>
      <c r="K17" s="578">
        <v>0</v>
      </c>
      <c r="L17" s="578">
        <v>0</v>
      </c>
      <c r="M17" s="578"/>
      <c r="N17" s="578">
        <v>0</v>
      </c>
      <c r="O17" s="578">
        <v>0</v>
      </c>
      <c r="P17" s="743"/>
    </row>
    <row r="18" spans="1:16" s="579" customFormat="1">
      <c r="A18" s="573"/>
      <c r="B18" s="574" t="s">
        <v>293</v>
      </c>
      <c r="C18" s="575" t="s">
        <v>294</v>
      </c>
      <c r="D18" s="576" t="s">
        <v>558</v>
      </c>
      <c r="E18" s="577">
        <v>4</v>
      </c>
      <c r="F18" s="577">
        <v>11436000</v>
      </c>
      <c r="G18" s="577">
        <f t="shared" si="0"/>
        <v>2859000</v>
      </c>
      <c r="H18" s="578">
        <v>0</v>
      </c>
      <c r="I18" s="578">
        <v>0</v>
      </c>
      <c r="J18" s="578"/>
      <c r="K18" s="578">
        <v>0</v>
      </c>
      <c r="L18" s="578">
        <v>0</v>
      </c>
      <c r="M18" s="578"/>
      <c r="N18" s="578">
        <v>0</v>
      </c>
      <c r="O18" s="578">
        <v>0</v>
      </c>
      <c r="P18" s="743"/>
    </row>
    <row r="19" spans="1:16" s="579" customFormat="1">
      <c r="A19" s="573"/>
      <c r="B19" s="574" t="s">
        <v>297</v>
      </c>
      <c r="C19" s="575" t="s">
        <v>298</v>
      </c>
      <c r="D19" s="576" t="s">
        <v>558</v>
      </c>
      <c r="E19" s="577">
        <v>1</v>
      </c>
      <c r="F19" s="577">
        <v>7487000</v>
      </c>
      <c r="G19" s="577">
        <f t="shared" si="0"/>
        <v>7487000</v>
      </c>
      <c r="H19" s="578">
        <v>0</v>
      </c>
      <c r="I19" s="578">
        <v>0</v>
      </c>
      <c r="J19" s="578"/>
      <c r="K19" s="578">
        <v>0</v>
      </c>
      <c r="L19" s="578">
        <v>0</v>
      </c>
      <c r="M19" s="578"/>
      <c r="N19" s="578">
        <v>0</v>
      </c>
      <c r="O19" s="578">
        <v>0</v>
      </c>
      <c r="P19" s="743"/>
    </row>
    <row r="20" spans="1:16" s="579" customFormat="1">
      <c r="A20" s="573"/>
      <c r="B20" s="574" t="s">
        <v>306</v>
      </c>
      <c r="C20" s="575" t="s">
        <v>307</v>
      </c>
      <c r="D20" s="576" t="s">
        <v>558</v>
      </c>
      <c r="E20" s="577">
        <v>1</v>
      </c>
      <c r="F20" s="577">
        <v>24000000</v>
      </c>
      <c r="G20" s="577">
        <f t="shared" si="0"/>
        <v>24000000</v>
      </c>
      <c r="H20" s="578">
        <v>0</v>
      </c>
      <c r="I20" s="578">
        <v>0</v>
      </c>
      <c r="J20" s="578"/>
      <c r="K20" s="578">
        <v>0</v>
      </c>
      <c r="L20" s="578">
        <v>0</v>
      </c>
      <c r="M20" s="578"/>
      <c r="N20" s="578">
        <v>0</v>
      </c>
      <c r="O20" s="578">
        <v>0</v>
      </c>
      <c r="P20" s="743"/>
    </row>
    <row r="21" spans="1:16" s="579" customFormat="1">
      <c r="A21" s="573"/>
      <c r="B21" s="574" t="s">
        <v>308</v>
      </c>
      <c r="C21" s="575" t="s">
        <v>309</v>
      </c>
      <c r="D21" s="576" t="s">
        <v>558</v>
      </c>
      <c r="E21" s="577">
        <v>59</v>
      </c>
      <c r="F21" s="577">
        <v>2118480</v>
      </c>
      <c r="G21" s="577">
        <f t="shared" si="0"/>
        <v>35906.4406779661</v>
      </c>
      <c r="H21" s="578">
        <v>0</v>
      </c>
      <c r="I21" s="578">
        <v>0</v>
      </c>
      <c r="J21" s="578"/>
      <c r="K21" s="578">
        <v>0</v>
      </c>
      <c r="L21" s="578">
        <v>0</v>
      </c>
      <c r="M21" s="578"/>
      <c r="N21" s="578">
        <v>0</v>
      </c>
      <c r="O21" s="578">
        <v>0</v>
      </c>
      <c r="P21" s="743"/>
    </row>
    <row r="22" spans="1:16" s="59" customFormat="1">
      <c r="A22" s="2"/>
      <c r="B22" s="567" t="s">
        <v>286</v>
      </c>
      <c r="C22" s="568" t="s">
        <v>625</v>
      </c>
      <c r="D22" s="569" t="s">
        <v>623</v>
      </c>
      <c r="E22" s="570">
        <v>3.2246731592866551</v>
      </c>
      <c r="F22" s="570">
        <v>128201234</v>
      </c>
      <c r="G22" s="570">
        <f t="shared" si="0"/>
        <v>39756349.765493751</v>
      </c>
      <c r="H22" s="571">
        <v>7</v>
      </c>
      <c r="I22" s="571">
        <v>300000000</v>
      </c>
      <c r="J22" s="571">
        <f t="shared" si="1"/>
        <v>42857142.857142858</v>
      </c>
      <c r="K22" s="571">
        <v>7</v>
      </c>
      <c r="L22" s="571">
        <v>300000000</v>
      </c>
      <c r="M22" s="571">
        <f t="shared" si="2"/>
        <v>42857142.857142858</v>
      </c>
      <c r="N22" s="571">
        <v>0</v>
      </c>
      <c r="O22" s="571">
        <v>0</v>
      </c>
      <c r="P22" s="572"/>
    </row>
    <row r="23" spans="1:16" s="59" customFormat="1" ht="18">
      <c r="A23" s="2"/>
      <c r="B23" s="567" t="s">
        <v>287</v>
      </c>
      <c r="C23" s="568" t="s">
        <v>626</v>
      </c>
      <c r="D23" s="569" t="s">
        <v>623</v>
      </c>
      <c r="E23" s="570">
        <v>31.520784458626292</v>
      </c>
      <c r="F23" s="570">
        <v>204628001</v>
      </c>
      <c r="G23" s="570">
        <f t="shared" si="0"/>
        <v>6491843.5411590608</v>
      </c>
      <c r="H23" s="571">
        <v>53</v>
      </c>
      <c r="I23" s="571">
        <v>1500000000</v>
      </c>
      <c r="J23" s="571">
        <f t="shared" si="1"/>
        <v>28301886.792452831</v>
      </c>
      <c r="K23" s="571">
        <v>53</v>
      </c>
      <c r="L23" s="571">
        <v>1500000000</v>
      </c>
      <c r="M23" s="571">
        <f t="shared" si="2"/>
        <v>28301886.792452831</v>
      </c>
      <c r="N23" s="571">
        <v>0</v>
      </c>
      <c r="O23" s="571">
        <v>0</v>
      </c>
      <c r="P23" s="572"/>
    </row>
    <row r="24" spans="1:16" s="59" customFormat="1">
      <c r="A24" s="2"/>
      <c r="B24" s="567" t="s">
        <v>627</v>
      </c>
      <c r="C24" s="568" t="s">
        <v>628</v>
      </c>
      <c r="D24" s="569" t="s">
        <v>629</v>
      </c>
      <c r="E24" s="570">
        <v>0</v>
      </c>
      <c r="F24" s="570">
        <v>0</v>
      </c>
      <c r="G24" s="570" t="e">
        <f t="shared" si="0"/>
        <v>#DIV/0!</v>
      </c>
      <c r="H24" s="571">
        <v>50</v>
      </c>
      <c r="I24" s="571">
        <v>1000000</v>
      </c>
      <c r="J24" s="571">
        <f t="shared" si="1"/>
        <v>20000</v>
      </c>
      <c r="K24" s="571">
        <v>50</v>
      </c>
      <c r="L24" s="571">
        <v>1000000</v>
      </c>
      <c r="M24" s="571">
        <f t="shared" si="2"/>
        <v>20000</v>
      </c>
      <c r="N24" s="571">
        <v>0</v>
      </c>
      <c r="O24" s="571">
        <v>0</v>
      </c>
      <c r="P24" s="572"/>
    </row>
    <row r="25" spans="1:16" s="59" customFormat="1">
      <c r="A25" s="2"/>
      <c r="B25" s="567" t="s">
        <v>630</v>
      </c>
      <c r="C25" s="568" t="s">
        <v>631</v>
      </c>
      <c r="D25" s="569" t="s">
        <v>632</v>
      </c>
      <c r="E25" s="570">
        <v>0</v>
      </c>
      <c r="F25" s="570">
        <v>0</v>
      </c>
      <c r="G25" s="570" t="e">
        <f t="shared" si="0"/>
        <v>#DIV/0!</v>
      </c>
      <c r="H25" s="571">
        <v>50</v>
      </c>
      <c r="I25" s="571">
        <v>1000000</v>
      </c>
      <c r="J25" s="571">
        <f t="shared" si="1"/>
        <v>20000</v>
      </c>
      <c r="K25" s="571">
        <v>50</v>
      </c>
      <c r="L25" s="571">
        <v>1000000</v>
      </c>
      <c r="M25" s="571">
        <f t="shared" si="2"/>
        <v>20000</v>
      </c>
      <c r="N25" s="571">
        <v>0</v>
      </c>
      <c r="O25" s="571">
        <v>0</v>
      </c>
      <c r="P25" s="572"/>
    </row>
    <row r="26" spans="1:16" s="59" customFormat="1">
      <c r="A26" s="2"/>
      <c r="B26" s="567" t="s">
        <v>295</v>
      </c>
      <c r="C26" s="568" t="s">
        <v>296</v>
      </c>
      <c r="D26" s="569" t="s">
        <v>633</v>
      </c>
      <c r="E26" s="570">
        <v>8</v>
      </c>
      <c r="F26" s="570">
        <v>54578714</v>
      </c>
      <c r="G26" s="570">
        <f t="shared" si="0"/>
        <v>6822339.25</v>
      </c>
      <c r="H26" s="571">
        <v>61</v>
      </c>
      <c r="I26" s="571">
        <v>500000000</v>
      </c>
      <c r="J26" s="571">
        <f t="shared" si="1"/>
        <v>8196721.3114754101</v>
      </c>
      <c r="K26" s="571">
        <v>61</v>
      </c>
      <c r="L26" s="571">
        <v>500000000</v>
      </c>
      <c r="M26" s="571">
        <f>L26/K26</f>
        <v>8196721.3114754101</v>
      </c>
      <c r="N26" s="571">
        <v>2</v>
      </c>
      <c r="O26" s="571">
        <v>18139793</v>
      </c>
      <c r="P26" s="572">
        <f t="shared" si="3"/>
        <v>9069896.5</v>
      </c>
    </row>
    <row r="27" spans="1:16" s="59" customFormat="1">
      <c r="A27" s="2"/>
      <c r="B27" s="567" t="s">
        <v>299</v>
      </c>
      <c r="C27" s="568" t="s">
        <v>300</v>
      </c>
      <c r="D27" s="569" t="s">
        <v>634</v>
      </c>
      <c r="E27" s="570">
        <v>1</v>
      </c>
      <c r="F27" s="570">
        <v>4093000</v>
      </c>
      <c r="G27" s="570">
        <f t="shared" si="0"/>
        <v>4093000</v>
      </c>
      <c r="H27" s="571">
        <v>1</v>
      </c>
      <c r="I27" s="571">
        <v>800000</v>
      </c>
      <c r="J27" s="571">
        <f t="shared" si="1"/>
        <v>800000</v>
      </c>
      <c r="K27" s="571">
        <v>1</v>
      </c>
      <c r="L27" s="571">
        <v>800000</v>
      </c>
      <c r="M27" s="571">
        <f t="shared" si="2"/>
        <v>800000</v>
      </c>
      <c r="N27" s="571">
        <v>0</v>
      </c>
      <c r="O27" s="571">
        <v>0</v>
      </c>
      <c r="P27" s="572"/>
    </row>
    <row r="28" spans="1:16" s="59" customFormat="1">
      <c r="A28" s="2"/>
      <c r="B28" s="567" t="s">
        <v>301</v>
      </c>
      <c r="C28" s="568" t="s">
        <v>302</v>
      </c>
      <c r="D28" s="569" t="s">
        <v>634</v>
      </c>
      <c r="E28" s="570">
        <v>0.60800646987464613</v>
      </c>
      <c r="F28" s="570">
        <v>7518385</v>
      </c>
      <c r="G28" s="570">
        <f t="shared" si="0"/>
        <v>12365633.216945997</v>
      </c>
      <c r="H28" s="571">
        <v>1</v>
      </c>
      <c r="I28" s="571">
        <v>18000000</v>
      </c>
      <c r="J28" s="571">
        <f t="shared" si="1"/>
        <v>18000000</v>
      </c>
      <c r="K28" s="571">
        <v>1</v>
      </c>
      <c r="L28" s="571">
        <v>18000000</v>
      </c>
      <c r="M28" s="571">
        <f t="shared" si="2"/>
        <v>18000000</v>
      </c>
      <c r="N28" s="571">
        <v>0</v>
      </c>
      <c r="O28" s="571">
        <v>0</v>
      </c>
      <c r="P28" s="572"/>
    </row>
    <row r="29" spans="1:16" s="59" customFormat="1" ht="18">
      <c r="A29" s="2"/>
      <c r="B29" s="567" t="s">
        <v>303</v>
      </c>
      <c r="C29" s="568" t="s">
        <v>635</v>
      </c>
      <c r="D29" s="569" t="s">
        <v>634</v>
      </c>
      <c r="E29" s="570">
        <v>0</v>
      </c>
      <c r="F29" s="570">
        <v>0</v>
      </c>
      <c r="G29" s="570" t="e">
        <f t="shared" si="0"/>
        <v>#DIV/0!</v>
      </c>
      <c r="H29" s="571">
        <v>1</v>
      </c>
      <c r="I29" s="571">
        <v>48226000</v>
      </c>
      <c r="J29" s="571">
        <f t="shared" si="1"/>
        <v>48226000</v>
      </c>
      <c r="K29" s="571">
        <v>1</v>
      </c>
      <c r="L29" s="571">
        <v>48226000</v>
      </c>
      <c r="M29" s="571">
        <f t="shared" si="2"/>
        <v>48226000</v>
      </c>
      <c r="N29" s="571">
        <v>0</v>
      </c>
      <c r="O29" s="571">
        <v>0</v>
      </c>
      <c r="P29" s="572"/>
    </row>
    <row r="30" spans="1:16" s="59" customFormat="1">
      <c r="A30" s="2"/>
      <c r="B30" s="567" t="s">
        <v>636</v>
      </c>
      <c r="C30" s="568" t="s">
        <v>637</v>
      </c>
      <c r="D30" s="569" t="s">
        <v>638</v>
      </c>
      <c r="E30" s="570">
        <v>0</v>
      </c>
      <c r="F30" s="570">
        <v>0</v>
      </c>
      <c r="G30" s="570" t="e">
        <f t="shared" si="0"/>
        <v>#DIV/0!</v>
      </c>
      <c r="H30" s="571">
        <v>1</v>
      </c>
      <c r="I30" s="571">
        <v>2020454.87</v>
      </c>
      <c r="J30" s="571">
        <f t="shared" si="1"/>
        <v>2020454.87</v>
      </c>
      <c r="K30" s="571">
        <v>1</v>
      </c>
      <c r="L30" s="571">
        <v>2020454.87</v>
      </c>
      <c r="M30" s="571">
        <f t="shared" si="2"/>
        <v>2020454.87</v>
      </c>
      <c r="N30" s="571">
        <v>0</v>
      </c>
      <c r="O30" s="571">
        <v>0</v>
      </c>
      <c r="P30" s="572"/>
    </row>
    <row r="31" spans="1:16" s="59" customFormat="1">
      <c r="A31" s="2"/>
      <c r="B31" s="567" t="s">
        <v>639</v>
      </c>
      <c r="C31" s="568" t="s">
        <v>640</v>
      </c>
      <c r="D31" s="569" t="s">
        <v>638</v>
      </c>
      <c r="E31" s="570">
        <v>0</v>
      </c>
      <c r="F31" s="570">
        <v>0</v>
      </c>
      <c r="G31" s="570" t="e">
        <f t="shared" si="0"/>
        <v>#DIV/0!</v>
      </c>
      <c r="H31" s="571">
        <v>1</v>
      </c>
      <c r="I31" s="571">
        <v>382926</v>
      </c>
      <c r="J31" s="571">
        <f t="shared" si="1"/>
        <v>382926</v>
      </c>
      <c r="K31" s="571">
        <v>1</v>
      </c>
      <c r="L31" s="571">
        <v>382926</v>
      </c>
      <c r="M31" s="571">
        <f t="shared" si="2"/>
        <v>382926</v>
      </c>
      <c r="N31" s="571">
        <v>0</v>
      </c>
      <c r="O31" s="571">
        <v>0</v>
      </c>
      <c r="P31" s="572"/>
    </row>
    <row r="32" spans="1:16" s="59" customFormat="1" ht="18">
      <c r="A32" s="2"/>
      <c r="B32" s="567" t="s">
        <v>641</v>
      </c>
      <c r="C32" s="568" t="s">
        <v>642</v>
      </c>
      <c r="D32" s="569" t="s">
        <v>638</v>
      </c>
      <c r="E32" s="570">
        <v>0</v>
      </c>
      <c r="F32" s="570">
        <v>0</v>
      </c>
      <c r="G32" s="570" t="e">
        <f t="shared" si="0"/>
        <v>#DIV/0!</v>
      </c>
      <c r="H32" s="571">
        <v>1</v>
      </c>
      <c r="I32" s="571">
        <v>2206917.0299999998</v>
      </c>
      <c r="J32" s="571">
        <f t="shared" si="1"/>
        <v>2206917.0299999998</v>
      </c>
      <c r="K32" s="571">
        <v>1</v>
      </c>
      <c r="L32" s="571">
        <v>2206917.0299999998</v>
      </c>
      <c r="M32" s="571">
        <f t="shared" si="2"/>
        <v>2206917.0299999998</v>
      </c>
      <c r="N32" s="580">
        <v>7.1137290439510642E-2</v>
      </c>
      <c r="O32" s="571">
        <v>156937</v>
      </c>
      <c r="P32" s="572">
        <f t="shared" si="3"/>
        <v>2206114.388535032</v>
      </c>
    </row>
    <row r="33" spans="1:16" s="59" customFormat="1">
      <c r="A33" s="2"/>
      <c r="B33" s="567" t="s">
        <v>643</v>
      </c>
      <c r="C33" s="568" t="s">
        <v>644</v>
      </c>
      <c r="D33" s="569" t="s">
        <v>638</v>
      </c>
      <c r="E33" s="570">
        <v>0</v>
      </c>
      <c r="F33" s="570">
        <v>0</v>
      </c>
      <c r="G33" s="570" t="e">
        <f t="shared" si="0"/>
        <v>#DIV/0!</v>
      </c>
      <c r="H33" s="571">
        <v>1</v>
      </c>
      <c r="I33" s="571">
        <v>682031.03</v>
      </c>
      <c r="J33" s="571">
        <f t="shared" si="1"/>
        <v>682031.03</v>
      </c>
      <c r="K33" s="571">
        <v>1</v>
      </c>
      <c r="L33" s="571">
        <v>682031.03</v>
      </c>
      <c r="M33" s="571">
        <f t="shared" si="2"/>
        <v>682031.03</v>
      </c>
      <c r="N33" s="580">
        <v>0.1158357771260997</v>
      </c>
      <c r="O33" s="571">
        <v>78704</v>
      </c>
      <c r="P33" s="572">
        <f t="shared" si="3"/>
        <v>679444.65822784812</v>
      </c>
    </row>
    <row r="34" spans="1:16" s="59" customFormat="1">
      <c r="A34" s="2"/>
      <c r="B34" s="567" t="s">
        <v>645</v>
      </c>
      <c r="C34" s="568" t="s">
        <v>646</v>
      </c>
      <c r="D34" s="569" t="s">
        <v>638</v>
      </c>
      <c r="E34" s="570">
        <v>0</v>
      </c>
      <c r="F34" s="570">
        <v>0</v>
      </c>
      <c r="G34" s="570" t="e">
        <f t="shared" si="0"/>
        <v>#DIV/0!</v>
      </c>
      <c r="H34" s="571">
        <v>1</v>
      </c>
      <c r="I34" s="571">
        <v>5000000</v>
      </c>
      <c r="J34" s="571">
        <f t="shared" si="1"/>
        <v>5000000</v>
      </c>
      <c r="K34" s="571">
        <v>1</v>
      </c>
      <c r="L34" s="571">
        <v>5000000</v>
      </c>
      <c r="M34" s="571">
        <f t="shared" si="2"/>
        <v>5000000</v>
      </c>
      <c r="N34" s="571">
        <v>0</v>
      </c>
      <c r="O34" s="571">
        <v>0</v>
      </c>
      <c r="P34" s="572"/>
    </row>
    <row r="35" spans="1:16" s="59" customFormat="1">
      <c r="A35" s="2"/>
      <c r="B35" s="567" t="s">
        <v>304</v>
      </c>
      <c r="C35" s="568" t="s">
        <v>305</v>
      </c>
      <c r="D35" s="569" t="s">
        <v>634</v>
      </c>
      <c r="E35" s="570">
        <v>0</v>
      </c>
      <c r="F35" s="570">
        <v>0</v>
      </c>
      <c r="G35" s="570" t="e">
        <f t="shared" si="0"/>
        <v>#DIV/0!</v>
      </c>
      <c r="H35" s="571">
        <v>1</v>
      </c>
      <c r="I35" s="571">
        <v>280000</v>
      </c>
      <c r="J35" s="571">
        <f t="shared" si="1"/>
        <v>280000</v>
      </c>
      <c r="K35" s="571">
        <v>1</v>
      </c>
      <c r="L35" s="571">
        <v>280000</v>
      </c>
      <c r="M35" s="571">
        <f t="shared" si="2"/>
        <v>280000</v>
      </c>
      <c r="N35" s="571">
        <v>0</v>
      </c>
      <c r="O35" s="571">
        <v>0</v>
      </c>
      <c r="P35" s="572"/>
    </row>
    <row r="36" spans="1:16" s="59" customFormat="1">
      <c r="A36" s="2"/>
      <c r="B36" s="567" t="s">
        <v>647</v>
      </c>
      <c r="C36" s="568" t="s">
        <v>648</v>
      </c>
      <c r="D36" s="569" t="s">
        <v>649</v>
      </c>
      <c r="E36" s="570">
        <v>0</v>
      </c>
      <c r="F36" s="570">
        <v>0</v>
      </c>
      <c r="G36" s="570" t="e">
        <f t="shared" si="0"/>
        <v>#DIV/0!</v>
      </c>
      <c r="H36" s="571">
        <v>4</v>
      </c>
      <c r="I36" s="571">
        <v>5000000</v>
      </c>
      <c r="J36" s="571">
        <f t="shared" si="1"/>
        <v>1250000</v>
      </c>
      <c r="K36" s="571">
        <v>4</v>
      </c>
      <c r="L36" s="571">
        <v>5000000</v>
      </c>
      <c r="M36" s="571">
        <f t="shared" si="2"/>
        <v>1250000</v>
      </c>
      <c r="N36" s="571">
        <v>0</v>
      </c>
      <c r="O36" s="571">
        <v>0</v>
      </c>
      <c r="P36" s="572"/>
    </row>
    <row r="37" spans="1:16" s="59" customFormat="1">
      <c r="A37" s="2"/>
      <c r="B37" s="567" t="s">
        <v>650</v>
      </c>
      <c r="C37" s="568" t="s">
        <v>651</v>
      </c>
      <c r="D37" s="569" t="s">
        <v>321</v>
      </c>
      <c r="E37" s="570">
        <v>0</v>
      </c>
      <c r="F37" s="570">
        <v>0</v>
      </c>
      <c r="G37" s="570" t="e">
        <f t="shared" si="0"/>
        <v>#DIV/0!</v>
      </c>
      <c r="H37" s="571">
        <v>1</v>
      </c>
      <c r="I37" s="571">
        <v>8000000</v>
      </c>
      <c r="J37" s="571">
        <f t="shared" si="1"/>
        <v>8000000</v>
      </c>
      <c r="K37" s="571">
        <v>1</v>
      </c>
      <c r="L37" s="571">
        <v>8000000</v>
      </c>
      <c r="M37" s="571">
        <f t="shared" si="2"/>
        <v>8000000</v>
      </c>
      <c r="N37" s="571">
        <v>0</v>
      </c>
      <c r="O37" s="571">
        <v>0</v>
      </c>
      <c r="P37" s="572"/>
    </row>
    <row r="38" spans="1:16" s="59" customFormat="1">
      <c r="A38" s="2"/>
      <c r="B38" s="567" t="s">
        <v>652</v>
      </c>
      <c r="C38" s="568" t="s">
        <v>653</v>
      </c>
      <c r="D38" s="569" t="s">
        <v>654</v>
      </c>
      <c r="E38" s="570">
        <v>0</v>
      </c>
      <c r="F38" s="570">
        <v>0</v>
      </c>
      <c r="G38" s="570" t="e">
        <f t="shared" si="0"/>
        <v>#DIV/0!</v>
      </c>
      <c r="H38" s="571">
        <v>4</v>
      </c>
      <c r="I38" s="571">
        <v>22146670.719999999</v>
      </c>
      <c r="J38" s="571">
        <f t="shared" si="1"/>
        <v>5536667.6799999997</v>
      </c>
      <c r="K38" s="571">
        <v>4</v>
      </c>
      <c r="L38" s="571">
        <v>22146670.719999999</v>
      </c>
      <c r="M38" s="571">
        <f t="shared" si="2"/>
        <v>5536667.6799999997</v>
      </c>
      <c r="N38" s="571">
        <v>0</v>
      </c>
      <c r="O38" s="571">
        <v>0</v>
      </c>
      <c r="P38" s="572"/>
    </row>
    <row r="39" spans="1:16" s="59" customFormat="1">
      <c r="A39" s="2"/>
      <c r="B39" s="567" t="s">
        <v>219</v>
      </c>
      <c r="C39" s="568" t="s">
        <v>655</v>
      </c>
      <c r="D39" s="569" t="s">
        <v>656</v>
      </c>
      <c r="E39" s="570">
        <v>6.2099142857142855</v>
      </c>
      <c r="F39" s="570">
        <v>16719318</v>
      </c>
      <c r="G39" s="570">
        <f t="shared" si="0"/>
        <v>2692358.9007439716</v>
      </c>
      <c r="H39" s="571">
        <v>53</v>
      </c>
      <c r="I39" s="571">
        <v>58255000</v>
      </c>
      <c r="J39" s="571">
        <f t="shared" si="1"/>
        <v>1099150.9433962265</v>
      </c>
      <c r="K39" s="571">
        <v>53</v>
      </c>
      <c r="L39" s="571">
        <v>58255000</v>
      </c>
      <c r="M39" s="571">
        <f t="shared" si="2"/>
        <v>1099150.9433962265</v>
      </c>
      <c r="N39" s="571">
        <v>0</v>
      </c>
      <c r="O39" s="571">
        <v>0</v>
      </c>
      <c r="P39" s="572"/>
    </row>
    <row r="40" spans="1:16" s="59" customFormat="1">
      <c r="A40" s="2"/>
      <c r="B40" s="567" t="s">
        <v>279</v>
      </c>
      <c r="C40" s="568" t="s">
        <v>657</v>
      </c>
      <c r="D40" s="569" t="s">
        <v>658</v>
      </c>
      <c r="E40" s="570">
        <v>500.07692307692309</v>
      </c>
      <c r="F40" s="570">
        <v>26003511</v>
      </c>
      <c r="G40" s="570">
        <f t="shared" si="0"/>
        <v>51999.022150438395</v>
      </c>
      <c r="H40" s="571">
        <v>2851</v>
      </c>
      <c r="I40" s="571">
        <v>147310000</v>
      </c>
      <c r="J40" s="571">
        <f t="shared" si="1"/>
        <v>51669.589617678008</v>
      </c>
      <c r="K40" s="571">
        <v>2851</v>
      </c>
      <c r="L40" s="571">
        <v>147310000</v>
      </c>
      <c r="M40" s="571">
        <f t="shared" si="2"/>
        <v>51669.589617678008</v>
      </c>
      <c r="N40" s="571">
        <v>720</v>
      </c>
      <c r="O40" s="571">
        <v>37194270</v>
      </c>
      <c r="P40" s="572"/>
    </row>
    <row r="41" spans="1:16" s="59" customFormat="1">
      <c r="A41" s="2"/>
      <c r="B41" s="567" t="s">
        <v>292</v>
      </c>
      <c r="C41" s="568" t="s">
        <v>659</v>
      </c>
      <c r="D41" s="569" t="s">
        <v>658</v>
      </c>
      <c r="E41" s="570">
        <v>55.430555555555557</v>
      </c>
      <c r="F41" s="570">
        <v>3990763</v>
      </c>
      <c r="G41" s="570">
        <f t="shared" si="0"/>
        <v>71995.72437985467</v>
      </c>
      <c r="H41" s="571">
        <v>308</v>
      </c>
      <c r="I41" s="571">
        <v>22000000</v>
      </c>
      <c r="J41" s="571">
        <f t="shared" si="1"/>
        <v>71428.571428571435</v>
      </c>
      <c r="K41" s="571">
        <v>308</v>
      </c>
      <c r="L41" s="571">
        <v>22000000</v>
      </c>
      <c r="M41" s="571">
        <f t="shared" si="2"/>
        <v>71428.571428571435</v>
      </c>
      <c r="N41" s="571">
        <v>0</v>
      </c>
      <c r="O41" s="571">
        <v>0</v>
      </c>
      <c r="P41" s="572"/>
    </row>
    <row r="42" spans="1:16" s="59" customFormat="1">
      <c r="A42" s="2"/>
      <c r="B42" s="567" t="s">
        <v>660</v>
      </c>
      <c r="C42" s="568" t="s">
        <v>661</v>
      </c>
      <c r="D42" s="569" t="s">
        <v>658</v>
      </c>
      <c r="E42" s="570">
        <v>110.9624060150376</v>
      </c>
      <c r="F42" s="570">
        <v>14757960</v>
      </c>
      <c r="G42" s="570">
        <f t="shared" si="0"/>
        <v>132999.6395175498</v>
      </c>
      <c r="H42" s="571">
        <v>98</v>
      </c>
      <c r="I42" s="571">
        <v>13000000</v>
      </c>
      <c r="J42" s="571">
        <f t="shared" si="1"/>
        <v>132653.06122448979</v>
      </c>
      <c r="K42" s="571">
        <v>98</v>
      </c>
      <c r="L42" s="571">
        <v>13000000</v>
      </c>
      <c r="M42" s="571">
        <f t="shared" si="2"/>
        <v>132653.06122448979</v>
      </c>
      <c r="N42" s="571">
        <v>0</v>
      </c>
      <c r="O42" s="571">
        <v>0</v>
      </c>
      <c r="P42" s="572"/>
    </row>
    <row r="43" spans="1:16" s="59" customFormat="1">
      <c r="A43" s="2"/>
      <c r="B43" s="567" t="s">
        <v>662</v>
      </c>
      <c r="C43" s="568" t="s">
        <v>663</v>
      </c>
      <c r="D43" s="569" t="s">
        <v>562</v>
      </c>
      <c r="E43" s="570">
        <v>8328</v>
      </c>
      <c r="F43" s="570">
        <v>16655580</v>
      </c>
      <c r="G43" s="570">
        <f t="shared" si="0"/>
        <v>1999.9495677233429</v>
      </c>
      <c r="H43" s="571">
        <v>6000</v>
      </c>
      <c r="I43" s="571">
        <v>12000000</v>
      </c>
      <c r="J43" s="571">
        <f t="shared" si="1"/>
        <v>2000</v>
      </c>
      <c r="K43" s="571">
        <v>6000</v>
      </c>
      <c r="L43" s="571">
        <v>12000000</v>
      </c>
      <c r="M43" s="571">
        <f t="shared" si="2"/>
        <v>2000</v>
      </c>
      <c r="N43" s="571">
        <v>0</v>
      </c>
      <c r="O43" s="571">
        <v>0</v>
      </c>
      <c r="P43" s="572"/>
    </row>
    <row r="44" spans="1:16" s="59" customFormat="1">
      <c r="A44" s="2"/>
      <c r="B44" s="567" t="s">
        <v>315</v>
      </c>
      <c r="C44" s="568" t="s">
        <v>664</v>
      </c>
      <c r="D44" s="569" t="s">
        <v>562</v>
      </c>
      <c r="E44" s="570">
        <v>1</v>
      </c>
      <c r="F44" s="570">
        <v>14397608</v>
      </c>
      <c r="G44" s="570">
        <f t="shared" si="0"/>
        <v>14397608</v>
      </c>
      <c r="H44" s="571">
        <v>1</v>
      </c>
      <c r="I44" s="571">
        <v>40280000</v>
      </c>
      <c r="J44" s="571">
        <f t="shared" si="1"/>
        <v>40280000</v>
      </c>
      <c r="K44" s="571">
        <v>1</v>
      </c>
      <c r="L44" s="571">
        <v>40280000</v>
      </c>
      <c r="M44" s="571">
        <f t="shared" si="2"/>
        <v>40280000</v>
      </c>
      <c r="N44" s="571">
        <v>1</v>
      </c>
      <c r="O44" s="571">
        <v>979872</v>
      </c>
      <c r="P44" s="572">
        <f t="shared" si="3"/>
        <v>979872</v>
      </c>
    </row>
    <row r="45" spans="1:16" s="59" customFormat="1" ht="18">
      <c r="A45" s="2"/>
      <c r="B45" s="567" t="s">
        <v>316</v>
      </c>
      <c r="C45" s="568" t="s">
        <v>665</v>
      </c>
      <c r="D45" s="569" t="s">
        <v>562</v>
      </c>
      <c r="E45" s="570">
        <v>0</v>
      </c>
      <c r="F45" s="570">
        <v>0</v>
      </c>
      <c r="G45" s="570" t="e">
        <f t="shared" si="0"/>
        <v>#DIV/0!</v>
      </c>
      <c r="H45" s="571">
        <v>1</v>
      </c>
      <c r="I45" s="571">
        <v>38821262</v>
      </c>
      <c r="J45" s="571">
        <f t="shared" si="1"/>
        <v>38821262</v>
      </c>
      <c r="K45" s="571">
        <v>0</v>
      </c>
      <c r="L45" s="571">
        <v>0</v>
      </c>
      <c r="M45" s="571" t="e">
        <f t="shared" si="2"/>
        <v>#DIV/0!</v>
      </c>
      <c r="N45" s="571">
        <v>0</v>
      </c>
      <c r="O45" s="571">
        <v>0</v>
      </c>
      <c r="P45" s="572"/>
    </row>
    <row r="46" spans="1:16" s="59" customFormat="1">
      <c r="A46" s="2"/>
      <c r="B46" s="567" t="s">
        <v>317</v>
      </c>
      <c r="C46" s="568" t="s">
        <v>666</v>
      </c>
      <c r="D46" s="569" t="s">
        <v>562</v>
      </c>
      <c r="E46" s="570">
        <v>0</v>
      </c>
      <c r="F46" s="570">
        <v>0</v>
      </c>
      <c r="G46" s="570" t="e">
        <f t="shared" si="0"/>
        <v>#DIV/0!</v>
      </c>
      <c r="H46" s="571">
        <v>1</v>
      </c>
      <c r="I46" s="571">
        <v>1332000</v>
      </c>
      <c r="J46" s="571">
        <f t="shared" si="1"/>
        <v>1332000</v>
      </c>
      <c r="K46" s="571">
        <v>1</v>
      </c>
      <c r="L46" s="571">
        <v>1332000</v>
      </c>
      <c r="M46" s="571">
        <f t="shared" si="2"/>
        <v>1332000</v>
      </c>
      <c r="N46" s="571">
        <v>1</v>
      </c>
      <c r="O46" s="571">
        <v>409700</v>
      </c>
      <c r="P46" s="572">
        <f t="shared" si="3"/>
        <v>409700</v>
      </c>
    </row>
    <row r="47" spans="1:16" s="59" customFormat="1">
      <c r="A47" s="2"/>
      <c r="B47" s="567" t="s">
        <v>636</v>
      </c>
      <c r="C47" s="568" t="s">
        <v>667</v>
      </c>
      <c r="D47" s="569" t="s">
        <v>558</v>
      </c>
      <c r="E47" s="570">
        <v>0</v>
      </c>
      <c r="F47" s="570">
        <v>0</v>
      </c>
      <c r="G47" s="570" t="e">
        <f t="shared" si="0"/>
        <v>#DIV/0!</v>
      </c>
      <c r="H47" s="571">
        <v>1</v>
      </c>
      <c r="I47" s="571">
        <v>4040913</v>
      </c>
      <c r="J47" s="571">
        <f t="shared" si="1"/>
        <v>4040913</v>
      </c>
      <c r="K47" s="571">
        <v>1</v>
      </c>
      <c r="L47" s="571">
        <v>4040913</v>
      </c>
      <c r="M47" s="571">
        <f t="shared" si="2"/>
        <v>4040913</v>
      </c>
      <c r="N47" s="571">
        <v>0</v>
      </c>
      <c r="O47" s="571">
        <v>0</v>
      </c>
      <c r="P47" s="572"/>
    </row>
    <row r="48" spans="1:16" s="59" customFormat="1">
      <c r="A48" s="2"/>
      <c r="B48" s="567" t="s">
        <v>639</v>
      </c>
      <c r="C48" s="568" t="s">
        <v>668</v>
      </c>
      <c r="D48" s="569" t="s">
        <v>558</v>
      </c>
      <c r="E48" s="570">
        <v>0</v>
      </c>
      <c r="F48" s="570">
        <v>0</v>
      </c>
      <c r="G48" s="570" t="e">
        <f t="shared" si="0"/>
        <v>#DIV/0!</v>
      </c>
      <c r="H48" s="571">
        <v>1</v>
      </c>
      <c r="I48" s="571">
        <v>3573980</v>
      </c>
      <c r="J48" s="571">
        <f t="shared" si="1"/>
        <v>3573980</v>
      </c>
      <c r="K48" s="571">
        <v>1</v>
      </c>
      <c r="L48" s="571">
        <v>3573980</v>
      </c>
      <c r="M48" s="571">
        <f t="shared" si="2"/>
        <v>3573980</v>
      </c>
      <c r="N48" s="571">
        <v>0</v>
      </c>
      <c r="O48" s="571">
        <v>0</v>
      </c>
      <c r="P48" s="572"/>
    </row>
    <row r="49" spans="1:16" s="59" customFormat="1" ht="18">
      <c r="A49" s="2"/>
      <c r="B49" s="567" t="s">
        <v>641</v>
      </c>
      <c r="C49" s="568" t="s">
        <v>669</v>
      </c>
      <c r="D49" s="569" t="s">
        <v>558</v>
      </c>
      <c r="E49" s="570">
        <v>0</v>
      </c>
      <c r="F49" s="570">
        <v>0</v>
      </c>
      <c r="G49" s="570" t="e">
        <f t="shared" si="0"/>
        <v>#DIV/0!</v>
      </c>
      <c r="H49" s="571">
        <v>1</v>
      </c>
      <c r="I49" s="571">
        <v>38621048</v>
      </c>
      <c r="J49" s="571">
        <f t="shared" si="1"/>
        <v>38621048</v>
      </c>
      <c r="K49" s="571">
        <v>1</v>
      </c>
      <c r="L49" s="571">
        <v>38621048</v>
      </c>
      <c r="M49" s="571">
        <f t="shared" si="2"/>
        <v>38621048</v>
      </c>
      <c r="N49" s="571">
        <v>0</v>
      </c>
      <c r="O49" s="571">
        <v>0</v>
      </c>
      <c r="P49" s="572"/>
    </row>
    <row r="50" spans="1:16" s="59" customFormat="1">
      <c r="A50" s="2"/>
      <c r="B50" s="567" t="s">
        <v>643</v>
      </c>
      <c r="C50" s="568" t="s">
        <v>670</v>
      </c>
      <c r="D50" s="569" t="s">
        <v>562</v>
      </c>
      <c r="E50" s="570">
        <v>0</v>
      </c>
      <c r="F50" s="570">
        <v>0</v>
      </c>
      <c r="G50" s="570" t="e">
        <f t="shared" si="0"/>
        <v>#DIV/0!</v>
      </c>
      <c r="H50" s="571">
        <v>1</v>
      </c>
      <c r="I50" s="571">
        <v>6365623</v>
      </c>
      <c r="J50" s="571">
        <f t="shared" si="1"/>
        <v>6365623</v>
      </c>
      <c r="K50" s="571">
        <v>1</v>
      </c>
      <c r="L50" s="571">
        <v>6365623</v>
      </c>
      <c r="M50" s="571">
        <f t="shared" si="2"/>
        <v>6365623</v>
      </c>
      <c r="N50" s="571"/>
      <c r="O50" s="571">
        <v>0</v>
      </c>
      <c r="P50" s="572"/>
    </row>
    <row r="51" spans="1:16" s="59" customFormat="1">
      <c r="A51" s="2"/>
      <c r="B51" s="567" t="s">
        <v>645</v>
      </c>
      <c r="C51" s="568" t="s">
        <v>671</v>
      </c>
      <c r="D51" s="569" t="s">
        <v>562</v>
      </c>
      <c r="E51" s="570">
        <v>0</v>
      </c>
      <c r="F51" s="570">
        <v>0</v>
      </c>
      <c r="G51" s="570" t="e">
        <f t="shared" si="0"/>
        <v>#DIV/0!</v>
      </c>
      <c r="H51" s="571">
        <v>1</v>
      </c>
      <c r="I51" s="571">
        <v>45000000</v>
      </c>
      <c r="J51" s="571">
        <f t="shared" si="1"/>
        <v>45000000</v>
      </c>
      <c r="K51" s="571">
        <v>1</v>
      </c>
      <c r="L51" s="571">
        <v>45000000</v>
      </c>
      <c r="M51" s="571">
        <f t="shared" si="2"/>
        <v>45000000</v>
      </c>
      <c r="N51" s="571">
        <v>0</v>
      </c>
      <c r="O51" s="571">
        <v>0</v>
      </c>
      <c r="P51" s="572"/>
    </row>
    <row r="52" spans="1:16" s="59" customFormat="1">
      <c r="A52" s="2"/>
      <c r="B52" s="567" t="s">
        <v>312</v>
      </c>
      <c r="C52" s="568" t="s">
        <v>672</v>
      </c>
      <c r="D52" s="569" t="s">
        <v>562</v>
      </c>
      <c r="E52" s="570">
        <v>0</v>
      </c>
      <c r="F52" s="570">
        <v>0</v>
      </c>
      <c r="G52" s="570" t="e">
        <f>F52/E52</f>
        <v>#DIV/0!</v>
      </c>
      <c r="H52" s="571">
        <v>1</v>
      </c>
      <c r="I52" s="571">
        <f>1640951487-48987270</f>
        <v>1591964217</v>
      </c>
      <c r="J52" s="571">
        <f>I52/H52</f>
        <v>1591964217</v>
      </c>
      <c r="K52" s="571">
        <v>1</v>
      </c>
      <c r="L52" s="571">
        <v>1591964217</v>
      </c>
      <c r="M52" s="571">
        <f>L52/K52</f>
        <v>1591964217</v>
      </c>
      <c r="N52" s="571">
        <v>0</v>
      </c>
      <c r="O52" s="571">
        <v>0</v>
      </c>
      <c r="P52" s="572"/>
    </row>
    <row r="53" spans="1:16" s="59" customFormat="1">
      <c r="A53" s="2"/>
      <c r="B53" s="567" t="s">
        <v>673</v>
      </c>
      <c r="C53" s="568" t="s">
        <v>674</v>
      </c>
      <c r="D53" s="569" t="s">
        <v>562</v>
      </c>
      <c r="E53" s="570">
        <v>0</v>
      </c>
      <c r="F53" s="570">
        <v>0</v>
      </c>
      <c r="G53" s="570" t="e">
        <f>F53/E53</f>
        <v>#DIV/0!</v>
      </c>
      <c r="H53" s="571">
        <v>1</v>
      </c>
      <c r="I53" s="571">
        <v>189512300</v>
      </c>
      <c r="J53" s="571">
        <f>I53/H53</f>
        <v>189512300</v>
      </c>
      <c r="K53" s="571">
        <v>1</v>
      </c>
      <c r="L53" s="571">
        <v>189512300</v>
      </c>
      <c r="M53" s="571">
        <f>L53/K53</f>
        <v>189512300</v>
      </c>
      <c r="N53" s="571">
        <v>0</v>
      </c>
      <c r="O53" s="571">
        <v>0</v>
      </c>
      <c r="P53" s="572"/>
    </row>
    <row r="54" spans="1:16" s="59" customFormat="1">
      <c r="A54" s="2"/>
      <c r="B54" s="567" t="s">
        <v>675</v>
      </c>
      <c r="C54" s="568" t="s">
        <v>676</v>
      </c>
      <c r="D54" s="569" t="s">
        <v>562</v>
      </c>
      <c r="E54" s="570">
        <v>0</v>
      </c>
      <c r="F54" s="570">
        <v>0</v>
      </c>
      <c r="G54" s="570" t="e">
        <f t="shared" ref="G54:G60" si="4">F54/E54</f>
        <v>#DIV/0!</v>
      </c>
      <c r="H54" s="571">
        <v>1</v>
      </c>
      <c r="I54" s="571">
        <v>3551387</v>
      </c>
      <c r="J54" s="571">
        <f t="shared" ref="J54:J60" si="5">I54/H54</f>
        <v>3551387</v>
      </c>
      <c r="K54" s="571">
        <v>1</v>
      </c>
      <c r="L54" s="571">
        <v>3551387</v>
      </c>
      <c r="M54" s="571">
        <f t="shared" ref="M54:M60" si="6">L54/K54</f>
        <v>3551387</v>
      </c>
      <c r="N54" s="571">
        <v>0</v>
      </c>
      <c r="O54" s="571">
        <v>0</v>
      </c>
      <c r="P54" s="572"/>
    </row>
    <row r="55" spans="1:16" s="59" customFormat="1">
      <c r="A55" s="2"/>
      <c r="B55" s="567" t="s">
        <v>318</v>
      </c>
      <c r="C55" s="568" t="s">
        <v>677</v>
      </c>
      <c r="D55" s="569" t="s">
        <v>562</v>
      </c>
      <c r="E55" s="570">
        <v>1</v>
      </c>
      <c r="F55" s="570">
        <v>2744458</v>
      </c>
      <c r="G55" s="570">
        <f t="shared" si="4"/>
        <v>2744458</v>
      </c>
      <c r="H55" s="571">
        <v>0</v>
      </c>
      <c r="I55" s="571">
        <v>0</v>
      </c>
      <c r="J55" s="571" t="e">
        <f t="shared" si="5"/>
        <v>#DIV/0!</v>
      </c>
      <c r="K55" s="571">
        <v>1</v>
      </c>
      <c r="L55" s="571">
        <v>38821262</v>
      </c>
      <c r="M55" s="571">
        <f t="shared" si="6"/>
        <v>38821262</v>
      </c>
      <c r="N55" s="571">
        <v>1</v>
      </c>
      <c r="O55" s="571">
        <v>845681</v>
      </c>
      <c r="P55" s="572">
        <f t="shared" ref="P55:P60" si="7">O55/N55</f>
        <v>845681</v>
      </c>
    </row>
    <row r="56" spans="1:16" s="59" customFormat="1">
      <c r="A56" s="2"/>
      <c r="B56" s="567" t="s">
        <v>678</v>
      </c>
      <c r="C56" s="568" t="s">
        <v>310</v>
      </c>
      <c r="D56" s="569" t="s">
        <v>562</v>
      </c>
      <c r="E56" s="570">
        <v>1</v>
      </c>
      <c r="F56" s="570">
        <v>4112341</v>
      </c>
      <c r="G56" s="570">
        <f t="shared" si="4"/>
        <v>4112341</v>
      </c>
      <c r="H56" s="571">
        <v>1</v>
      </c>
      <c r="I56" s="571">
        <v>3339684.09</v>
      </c>
      <c r="J56" s="571">
        <f t="shared" si="5"/>
        <v>3339684.09</v>
      </c>
      <c r="K56" s="571">
        <v>1</v>
      </c>
      <c r="L56" s="571">
        <v>3339684.09</v>
      </c>
      <c r="M56" s="571">
        <f t="shared" si="6"/>
        <v>3339684.09</v>
      </c>
      <c r="N56" s="571">
        <v>1</v>
      </c>
      <c r="O56" s="571">
        <v>1200</v>
      </c>
      <c r="P56" s="572">
        <f t="shared" si="7"/>
        <v>1200</v>
      </c>
    </row>
    <row r="57" spans="1:16" s="59" customFormat="1">
      <c r="A57" s="2"/>
      <c r="B57" s="567" t="s">
        <v>679</v>
      </c>
      <c r="C57" s="568" t="s">
        <v>680</v>
      </c>
      <c r="D57" s="569" t="s">
        <v>562</v>
      </c>
      <c r="E57" s="570">
        <v>2</v>
      </c>
      <c r="F57" s="570">
        <v>3600</v>
      </c>
      <c r="G57" s="570">
        <f t="shared" si="4"/>
        <v>1800</v>
      </c>
      <c r="H57" s="571">
        <v>1</v>
      </c>
      <c r="I57" s="571">
        <v>29577273.93</v>
      </c>
      <c r="J57" s="571">
        <f t="shared" si="5"/>
        <v>29577273.93</v>
      </c>
      <c r="K57" s="571">
        <v>1</v>
      </c>
      <c r="L57" s="571">
        <v>29577273.93</v>
      </c>
      <c r="M57" s="571">
        <f t="shared" si="6"/>
        <v>29577273.93</v>
      </c>
      <c r="N57" s="571">
        <v>2</v>
      </c>
      <c r="O57" s="571">
        <v>1200</v>
      </c>
      <c r="P57" s="572">
        <f t="shared" si="7"/>
        <v>600</v>
      </c>
    </row>
    <row r="58" spans="1:16" s="59" customFormat="1">
      <c r="A58" s="2"/>
      <c r="B58" s="567" t="s">
        <v>681</v>
      </c>
      <c r="C58" s="568" t="s">
        <v>311</v>
      </c>
      <c r="D58" s="569" t="s">
        <v>562</v>
      </c>
      <c r="E58" s="570">
        <v>1</v>
      </c>
      <c r="F58" s="570">
        <v>3600</v>
      </c>
      <c r="G58" s="570">
        <f t="shared" si="4"/>
        <v>3600</v>
      </c>
      <c r="H58" s="571">
        <v>1</v>
      </c>
      <c r="I58" s="571">
        <v>600.52</v>
      </c>
      <c r="J58" s="571">
        <f t="shared" si="5"/>
        <v>600.52</v>
      </c>
      <c r="K58" s="571">
        <v>1</v>
      </c>
      <c r="L58" s="571">
        <v>600.52</v>
      </c>
      <c r="M58" s="571">
        <f t="shared" si="6"/>
        <v>600.52</v>
      </c>
      <c r="N58" s="571">
        <v>1</v>
      </c>
      <c r="O58" s="571">
        <v>1200</v>
      </c>
      <c r="P58" s="572">
        <f t="shared" si="7"/>
        <v>1200</v>
      </c>
    </row>
    <row r="59" spans="1:16" s="59" customFormat="1">
      <c r="A59" s="2"/>
      <c r="B59" s="567" t="s">
        <v>682</v>
      </c>
      <c r="C59" s="568" t="s">
        <v>313</v>
      </c>
      <c r="D59" s="569" t="s">
        <v>562</v>
      </c>
      <c r="E59" s="570">
        <v>1</v>
      </c>
      <c r="F59" s="570">
        <v>21856539</v>
      </c>
      <c r="G59" s="570">
        <f t="shared" si="4"/>
        <v>21856539</v>
      </c>
      <c r="H59" s="571">
        <v>1</v>
      </c>
      <c r="I59" s="571">
        <v>368872.65</v>
      </c>
      <c r="J59" s="571">
        <f t="shared" si="5"/>
        <v>368872.65</v>
      </c>
      <c r="K59" s="571">
        <v>1</v>
      </c>
      <c r="L59" s="571">
        <v>368872.65</v>
      </c>
      <c r="M59" s="571">
        <f t="shared" si="6"/>
        <v>368872.65</v>
      </c>
      <c r="N59" s="571">
        <v>1</v>
      </c>
      <c r="O59" s="571">
        <v>307142</v>
      </c>
      <c r="P59" s="572">
        <f t="shared" si="7"/>
        <v>307142</v>
      </c>
    </row>
    <row r="60" spans="1:16" s="59" customFormat="1">
      <c r="A60" s="2"/>
      <c r="B60" s="567" t="s">
        <v>683</v>
      </c>
      <c r="C60" s="568" t="s">
        <v>314</v>
      </c>
      <c r="D60" s="569" t="s">
        <v>562</v>
      </c>
      <c r="E60" s="570">
        <v>1</v>
      </c>
      <c r="F60" s="570">
        <v>8219126</v>
      </c>
      <c r="G60" s="570">
        <f t="shared" si="4"/>
        <v>8219126</v>
      </c>
      <c r="H60" s="571">
        <v>1</v>
      </c>
      <c r="I60" s="571">
        <v>15700839.149999999</v>
      </c>
      <c r="J60" s="571">
        <f t="shared" si="5"/>
        <v>15700839.149999999</v>
      </c>
      <c r="K60" s="571">
        <v>1</v>
      </c>
      <c r="L60" s="571">
        <v>15700839.149999999</v>
      </c>
      <c r="M60" s="571">
        <f t="shared" si="6"/>
        <v>15700839.149999999</v>
      </c>
      <c r="N60" s="571">
        <v>1</v>
      </c>
      <c r="O60" s="571">
        <v>14719925.699999999</v>
      </c>
      <c r="P60" s="572">
        <f t="shared" si="7"/>
        <v>14719925.699999999</v>
      </c>
    </row>
    <row r="61" spans="1:16">
      <c r="A61" s="2"/>
      <c r="B61" s="581" t="s">
        <v>529</v>
      </c>
      <c r="C61" s="582" t="s">
        <v>68</v>
      </c>
      <c r="D61" s="583"/>
      <c r="E61" s="584"/>
      <c r="F61" s="584">
        <f>SUM(F11:F60)</f>
        <v>2451393172.7399998</v>
      </c>
      <c r="G61" s="584"/>
      <c r="H61" s="585"/>
      <c r="I61" s="585">
        <f>SUM(I11:I60)</f>
        <v>5791249999.9899998</v>
      </c>
      <c r="J61" s="585"/>
      <c r="K61" s="585"/>
      <c r="L61" s="585">
        <f>SUM(L11:L60)</f>
        <v>5791249999.9899998</v>
      </c>
      <c r="M61" s="585"/>
      <c r="N61" s="585"/>
      <c r="O61" s="585">
        <f>SUM(O11:O60)</f>
        <v>145924885.69999999</v>
      </c>
      <c r="P61" s="586"/>
    </row>
    <row r="62" spans="1:16" ht="30.75" customHeight="1" thickBot="1">
      <c r="A62" s="2"/>
      <c r="B62" s="1587" t="s">
        <v>539</v>
      </c>
      <c r="C62" s="1587"/>
      <c r="D62" s="564"/>
      <c r="E62" s="565"/>
      <c r="F62" s="587">
        <v>7053380</v>
      </c>
      <c r="G62" s="565"/>
      <c r="H62" s="588"/>
      <c r="I62" s="589"/>
      <c r="J62" s="590"/>
      <c r="K62" s="588"/>
      <c r="L62" s="589"/>
      <c r="M62" s="590"/>
      <c r="N62" s="588"/>
      <c r="O62" s="589"/>
      <c r="P62" s="590"/>
    </row>
    <row r="63" spans="1:16" ht="15.75" thickTop="1">
      <c r="A63" s="2"/>
      <c r="B63" s="1588"/>
      <c r="C63" s="1588"/>
      <c r="D63" s="1588"/>
      <c r="E63" s="1588"/>
      <c r="F63" s="1588"/>
      <c r="G63" s="1588"/>
      <c r="H63" s="1588"/>
      <c r="I63" s="1588"/>
      <c r="J63" s="1588"/>
      <c r="K63" s="1588"/>
      <c r="L63" s="1588"/>
      <c r="M63" s="1588"/>
      <c r="N63" s="1588"/>
      <c r="O63" s="1588"/>
      <c r="P63" s="1588"/>
    </row>
  </sheetData>
  <mergeCells count="17">
    <mergeCell ref="B62:C62"/>
    <mergeCell ref="B63:P63"/>
    <mergeCell ref="N7:P7"/>
    <mergeCell ref="B10:C10"/>
    <mergeCell ref="B7:B8"/>
    <mergeCell ref="C7:C8"/>
    <mergeCell ref="D7:D8"/>
    <mergeCell ref="E7:G7"/>
    <mergeCell ref="H7:J7"/>
    <mergeCell ref="K7:M7"/>
    <mergeCell ref="C6:E6"/>
    <mergeCell ref="G6:P6"/>
    <mergeCell ref="B2:P2"/>
    <mergeCell ref="B3:P3"/>
    <mergeCell ref="B4:P4"/>
    <mergeCell ref="C5:E5"/>
    <mergeCell ref="G5:P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5" tint="0.79998168889431442"/>
  </sheetPr>
  <dimension ref="A1:S31"/>
  <sheetViews>
    <sheetView topLeftCell="C1" workbookViewId="0">
      <selection activeCell="E10" sqref="E10"/>
    </sheetView>
  </sheetViews>
  <sheetFormatPr defaultRowHeight="11.25"/>
  <cols>
    <col min="1" max="1" width="0" style="862" hidden="1" customWidth="1"/>
    <col min="2" max="2" width="9.140625" style="862" hidden="1" customWidth="1"/>
    <col min="3" max="3" width="4.5703125" style="862" customWidth="1"/>
    <col min="4" max="4" width="8.42578125" style="862" customWidth="1"/>
    <col min="5" max="5" width="27.5703125" style="862" customWidth="1"/>
    <col min="6" max="6" width="9.140625" style="862"/>
    <col min="7" max="7" width="54.5703125" style="1100" customWidth="1"/>
    <col min="8" max="8" width="11.5703125" style="862" customWidth="1"/>
    <col min="9" max="9" width="4.7109375" style="862" customWidth="1"/>
    <col min="10" max="10" width="11.5703125" style="862" customWidth="1"/>
    <col min="11" max="11" width="6.28515625" style="862" customWidth="1"/>
    <col min="12" max="12" width="11" style="862" customWidth="1"/>
    <col min="13" max="13" width="10.7109375" style="862" customWidth="1"/>
    <col min="14" max="14" width="11.28515625" style="862" customWidth="1"/>
    <col min="15" max="15" width="14" style="862" customWidth="1"/>
    <col min="16" max="16" width="5.5703125" style="862" customWidth="1"/>
    <col min="17" max="17" width="9" style="862" customWidth="1"/>
    <col min="18" max="19" width="11" style="862" customWidth="1"/>
    <col min="20" max="20" width="14" style="862" bestFit="1" customWidth="1"/>
    <col min="21" max="16384" width="9.140625" style="862"/>
  </cols>
  <sheetData>
    <row r="1" spans="1:19">
      <c r="A1" s="860"/>
      <c r="B1" s="860"/>
      <c r="C1" s="861"/>
      <c r="D1" s="860"/>
      <c r="E1" s="860"/>
      <c r="F1" s="860"/>
      <c r="G1" s="1097"/>
      <c r="H1" s="860"/>
      <c r="I1" s="860"/>
      <c r="J1" s="860"/>
      <c r="K1" s="860"/>
      <c r="L1" s="860"/>
      <c r="M1" s="860"/>
      <c r="N1" s="860"/>
      <c r="O1" s="860"/>
      <c r="P1" s="860"/>
      <c r="Q1" s="860"/>
      <c r="R1" s="860"/>
      <c r="S1" s="860"/>
    </row>
    <row r="2" spans="1:19">
      <c r="A2" s="860"/>
      <c r="B2" s="860"/>
      <c r="C2" s="1597" t="s">
        <v>706</v>
      </c>
      <c r="D2" s="1597"/>
      <c r="E2" s="1597"/>
      <c r="F2" s="1597"/>
      <c r="G2" s="1597"/>
      <c r="H2" s="1597"/>
      <c r="I2" s="1597"/>
      <c r="J2" s="1597"/>
      <c r="K2" s="1597"/>
      <c r="L2" s="1597"/>
      <c r="M2" s="1597"/>
      <c r="N2" s="1597"/>
      <c r="O2" s="1597"/>
      <c r="P2" s="1597"/>
      <c r="Q2" s="1597"/>
      <c r="R2" s="1597"/>
      <c r="S2" s="1597"/>
    </row>
    <row r="3" spans="1:19" ht="12" thickBot="1">
      <c r="A3" s="860"/>
      <c r="B3" s="860"/>
      <c r="C3" s="1598" t="s">
        <v>540</v>
      </c>
      <c r="D3" s="1598"/>
      <c r="E3" s="1598"/>
      <c r="F3" s="1598"/>
      <c r="G3" s="1598"/>
      <c r="H3" s="1598"/>
      <c r="I3" s="1598"/>
      <c r="J3" s="1598"/>
      <c r="K3" s="1598"/>
      <c r="L3" s="1598"/>
      <c r="M3" s="1598"/>
      <c r="N3" s="1598"/>
      <c r="O3" s="1598"/>
      <c r="P3" s="1598"/>
      <c r="Q3" s="1598"/>
      <c r="R3" s="1598"/>
      <c r="S3" s="1598"/>
    </row>
    <row r="4" spans="1:19" ht="12" thickBot="1">
      <c r="A4" s="1592"/>
      <c r="B4" s="1592"/>
      <c r="C4" s="1599" t="s">
        <v>63</v>
      </c>
      <c r="D4" s="1602" t="s">
        <v>25</v>
      </c>
      <c r="E4" s="1602" t="s">
        <v>96</v>
      </c>
      <c r="F4" s="1602" t="s">
        <v>707</v>
      </c>
      <c r="G4" s="1605" t="s">
        <v>502</v>
      </c>
      <c r="H4" s="1602" t="s">
        <v>98</v>
      </c>
      <c r="I4" s="1602" t="s">
        <v>708</v>
      </c>
      <c r="J4" s="1593" t="s">
        <v>67</v>
      </c>
      <c r="K4" s="1593"/>
      <c r="L4" s="1593"/>
      <c r="M4" s="1593"/>
      <c r="N4" s="1593"/>
      <c r="O4" s="1593"/>
      <c r="P4" s="1593"/>
      <c r="Q4" s="1593"/>
      <c r="R4" s="1593"/>
      <c r="S4" s="1594"/>
    </row>
    <row r="5" spans="1:19" ht="12.75" thickTop="1" thickBot="1">
      <c r="A5" s="860"/>
      <c r="B5" s="860"/>
      <c r="C5" s="1600"/>
      <c r="D5" s="1603"/>
      <c r="E5" s="1603"/>
      <c r="F5" s="1603"/>
      <c r="G5" s="1606"/>
      <c r="H5" s="1603"/>
      <c r="I5" s="1603"/>
      <c r="J5" s="1595" t="s">
        <v>68</v>
      </c>
      <c r="K5" s="863" t="s">
        <v>49</v>
      </c>
      <c r="L5" s="863" t="s">
        <v>51</v>
      </c>
      <c r="M5" s="863" t="s">
        <v>34</v>
      </c>
      <c r="N5" s="863" t="s">
        <v>36</v>
      </c>
      <c r="O5" s="863" t="s">
        <v>38</v>
      </c>
      <c r="P5" s="863" t="s">
        <v>40</v>
      </c>
      <c r="Q5" s="863" t="s">
        <v>42</v>
      </c>
      <c r="R5" s="863" t="s">
        <v>44</v>
      </c>
      <c r="S5" s="883" t="s">
        <v>46</v>
      </c>
    </row>
    <row r="6" spans="1:19" ht="68.25" thickTop="1">
      <c r="A6" s="860"/>
      <c r="B6" s="860"/>
      <c r="C6" s="1601"/>
      <c r="D6" s="1604"/>
      <c r="E6" s="1604"/>
      <c r="F6" s="1604"/>
      <c r="G6" s="1607"/>
      <c r="H6" s="1604"/>
      <c r="I6" s="1604"/>
      <c r="J6" s="1596"/>
      <c r="K6" s="870" t="s">
        <v>70</v>
      </c>
      <c r="L6" s="870" t="s">
        <v>71</v>
      </c>
      <c r="M6" s="870" t="s">
        <v>72</v>
      </c>
      <c r="N6" s="870" t="s">
        <v>73</v>
      </c>
      <c r="O6" s="870" t="s">
        <v>74</v>
      </c>
      <c r="P6" s="870" t="s">
        <v>75</v>
      </c>
      <c r="Q6" s="870" t="s">
        <v>76</v>
      </c>
      <c r="R6" s="870" t="s">
        <v>77</v>
      </c>
      <c r="S6" s="884" t="s">
        <v>709</v>
      </c>
    </row>
    <row r="7" spans="1:19" ht="20.25" customHeight="1">
      <c r="A7" s="860"/>
      <c r="B7" s="860"/>
      <c r="C7" s="885" t="s">
        <v>179</v>
      </c>
      <c r="D7" s="876" t="s">
        <v>27</v>
      </c>
      <c r="E7" s="877" t="s">
        <v>28</v>
      </c>
      <c r="F7" s="876" t="s">
        <v>161</v>
      </c>
      <c r="G7" s="877" t="s">
        <v>162</v>
      </c>
      <c r="H7" s="878" t="s">
        <v>81</v>
      </c>
      <c r="I7" s="879">
        <v>41</v>
      </c>
      <c r="J7" s="879">
        <f>SUM(M7:S7)</f>
        <v>1436200000</v>
      </c>
      <c r="K7" s="879"/>
      <c r="L7" s="879"/>
      <c r="M7" s="880">
        <v>612980000</v>
      </c>
      <c r="N7" s="880">
        <v>114900000</v>
      </c>
      <c r="O7" s="880">
        <v>399896000</v>
      </c>
      <c r="P7" s="880"/>
      <c r="Q7" s="880"/>
      <c r="R7" s="880">
        <v>275424000</v>
      </c>
      <c r="S7" s="886">
        <v>33000000</v>
      </c>
    </row>
    <row r="8" spans="1:19" ht="20.25" customHeight="1">
      <c r="A8" s="860"/>
      <c r="B8" s="860"/>
      <c r="C8" s="885" t="s">
        <v>179</v>
      </c>
      <c r="D8" s="876" t="s">
        <v>27</v>
      </c>
      <c r="E8" s="877" t="s">
        <v>28</v>
      </c>
      <c r="F8" s="876" t="s">
        <v>161</v>
      </c>
      <c r="G8" s="877" t="s">
        <v>162</v>
      </c>
      <c r="H8" s="878" t="s">
        <v>82</v>
      </c>
      <c r="I8" s="879">
        <v>41</v>
      </c>
      <c r="J8" s="879">
        <f t="shared" ref="J8:J9" si="0">SUM(M8:S8)</f>
        <v>1436200000</v>
      </c>
      <c r="K8" s="879"/>
      <c r="L8" s="879"/>
      <c r="M8" s="880">
        <v>612980000</v>
      </c>
      <c r="N8" s="880">
        <v>114900000</v>
      </c>
      <c r="O8" s="880">
        <v>399896000</v>
      </c>
      <c r="P8" s="880"/>
      <c r="Q8" s="880"/>
      <c r="R8" s="880">
        <v>275424000</v>
      </c>
      <c r="S8" s="886">
        <v>33000000</v>
      </c>
    </row>
    <row r="9" spans="1:19" ht="20.25" customHeight="1">
      <c r="A9" s="860"/>
      <c r="B9" s="860"/>
      <c r="C9" s="885" t="s">
        <v>179</v>
      </c>
      <c r="D9" s="876" t="s">
        <v>27</v>
      </c>
      <c r="E9" s="877" t="s">
        <v>28</v>
      </c>
      <c r="F9" s="876" t="s">
        <v>161</v>
      </c>
      <c r="G9" s="877" t="s">
        <v>162</v>
      </c>
      <c r="H9" s="878" t="s">
        <v>83</v>
      </c>
      <c r="I9" s="879">
        <v>18</v>
      </c>
      <c r="J9" s="879">
        <f t="shared" si="0"/>
        <v>567801454</v>
      </c>
      <c r="K9" s="879"/>
      <c r="L9" s="879"/>
      <c r="M9" s="881">
        <v>170597674</v>
      </c>
      <c r="N9" s="881">
        <v>34485603</v>
      </c>
      <c r="O9" s="881">
        <v>207346272</v>
      </c>
      <c r="P9" s="881"/>
      <c r="Q9" s="881"/>
      <c r="R9" s="881">
        <v>146500000</v>
      </c>
      <c r="S9" s="887">
        <v>8871905</v>
      </c>
    </row>
    <row r="10" spans="1:19" ht="20.25" customHeight="1">
      <c r="A10" s="860"/>
      <c r="B10" s="860"/>
      <c r="C10" s="885" t="s">
        <v>179</v>
      </c>
      <c r="D10" s="876" t="s">
        <v>27</v>
      </c>
      <c r="E10" s="877" t="s">
        <v>28</v>
      </c>
      <c r="F10" s="882" t="s">
        <v>163</v>
      </c>
      <c r="G10" s="1098" t="s">
        <v>164</v>
      </c>
      <c r="H10" s="878" t="s">
        <v>81</v>
      </c>
      <c r="I10" s="879">
        <v>1</v>
      </c>
      <c r="J10" s="879">
        <f>L10</f>
        <v>32188000</v>
      </c>
      <c r="K10" s="879"/>
      <c r="L10" s="879">
        <v>32188000</v>
      </c>
      <c r="M10" s="881"/>
      <c r="N10" s="881"/>
      <c r="O10" s="881"/>
      <c r="P10" s="881"/>
      <c r="Q10" s="881"/>
      <c r="R10" s="881"/>
      <c r="S10" s="887"/>
    </row>
    <row r="11" spans="1:19" ht="20.25" customHeight="1">
      <c r="A11" s="860"/>
      <c r="B11" s="860"/>
      <c r="C11" s="885" t="s">
        <v>179</v>
      </c>
      <c r="D11" s="876" t="s">
        <v>27</v>
      </c>
      <c r="E11" s="877" t="s">
        <v>28</v>
      </c>
      <c r="F11" s="882" t="s">
        <v>163</v>
      </c>
      <c r="G11" s="1098" t="s">
        <v>164</v>
      </c>
      <c r="H11" s="878" t="s">
        <v>82</v>
      </c>
      <c r="I11" s="879">
        <v>1</v>
      </c>
      <c r="J11" s="879">
        <f>L11</f>
        <v>32188000</v>
      </c>
      <c r="K11" s="879"/>
      <c r="L11" s="879">
        <v>32188000</v>
      </c>
      <c r="M11" s="881"/>
      <c r="N11" s="881"/>
      <c r="O11" s="881"/>
      <c r="P11" s="881"/>
      <c r="Q11" s="881"/>
      <c r="R11" s="881"/>
      <c r="S11" s="887"/>
    </row>
    <row r="12" spans="1:19" ht="20.25" customHeight="1">
      <c r="A12" s="860"/>
      <c r="B12" s="860"/>
      <c r="C12" s="885" t="s">
        <v>179</v>
      </c>
      <c r="D12" s="876" t="s">
        <v>27</v>
      </c>
      <c r="E12" s="877" t="s">
        <v>28</v>
      </c>
      <c r="F12" s="882" t="s">
        <v>163</v>
      </c>
      <c r="G12" s="1098" t="s">
        <v>164</v>
      </c>
      <c r="H12" s="878" t="s">
        <v>83</v>
      </c>
      <c r="I12" s="879">
        <v>0</v>
      </c>
      <c r="J12" s="879">
        <f>L12</f>
        <v>0</v>
      </c>
      <c r="K12" s="879"/>
      <c r="L12" s="879">
        <v>0</v>
      </c>
      <c r="M12" s="881"/>
      <c r="N12" s="881"/>
      <c r="O12" s="881"/>
      <c r="P12" s="881"/>
      <c r="Q12" s="881"/>
      <c r="R12" s="881"/>
      <c r="S12" s="887"/>
    </row>
    <row r="13" spans="1:19" ht="20.25" customHeight="1">
      <c r="A13" s="860"/>
      <c r="B13" s="860"/>
      <c r="C13" s="885" t="s">
        <v>179</v>
      </c>
      <c r="D13" s="876" t="s">
        <v>27</v>
      </c>
      <c r="E13" s="877" t="s">
        <v>28</v>
      </c>
      <c r="F13" s="876" t="s">
        <v>541</v>
      </c>
      <c r="G13" s="877" t="s">
        <v>542</v>
      </c>
      <c r="H13" s="878" t="s">
        <v>81</v>
      </c>
      <c r="I13" s="879">
        <v>5</v>
      </c>
      <c r="J13" s="879">
        <f t="shared" ref="J13:J26" si="1">L13</f>
        <v>5000000</v>
      </c>
      <c r="K13" s="879"/>
      <c r="L13" s="879">
        <v>5000000</v>
      </c>
      <c r="M13" s="881"/>
      <c r="N13" s="881"/>
      <c r="O13" s="881"/>
      <c r="P13" s="881"/>
      <c r="Q13" s="881"/>
      <c r="R13" s="881"/>
      <c r="S13" s="887"/>
    </row>
    <row r="14" spans="1:19" ht="20.25" customHeight="1">
      <c r="A14" s="860"/>
      <c r="B14" s="860"/>
      <c r="C14" s="885" t="s">
        <v>179</v>
      </c>
      <c r="D14" s="876" t="s">
        <v>27</v>
      </c>
      <c r="E14" s="877" t="s">
        <v>28</v>
      </c>
      <c r="F14" s="876" t="s">
        <v>541</v>
      </c>
      <c r="G14" s="877" t="s">
        <v>542</v>
      </c>
      <c r="H14" s="878" t="s">
        <v>82</v>
      </c>
      <c r="I14" s="879">
        <v>5</v>
      </c>
      <c r="J14" s="879">
        <f t="shared" si="1"/>
        <v>5000000</v>
      </c>
      <c r="K14" s="879"/>
      <c r="L14" s="879">
        <v>5000000</v>
      </c>
      <c r="M14" s="881"/>
      <c r="N14" s="881"/>
      <c r="O14" s="881"/>
      <c r="P14" s="881"/>
      <c r="Q14" s="881"/>
      <c r="R14" s="881"/>
      <c r="S14" s="887"/>
    </row>
    <row r="15" spans="1:19" ht="20.25" customHeight="1">
      <c r="A15" s="860"/>
      <c r="B15" s="860"/>
      <c r="C15" s="885" t="s">
        <v>179</v>
      </c>
      <c r="D15" s="876" t="s">
        <v>27</v>
      </c>
      <c r="E15" s="877" t="s">
        <v>28</v>
      </c>
      <c r="F15" s="876" t="s">
        <v>541</v>
      </c>
      <c r="G15" s="877" t="s">
        <v>542</v>
      </c>
      <c r="H15" s="878" t="s">
        <v>83</v>
      </c>
      <c r="I15" s="879">
        <v>0</v>
      </c>
      <c r="J15" s="879">
        <f t="shared" si="1"/>
        <v>0</v>
      </c>
      <c r="K15" s="879"/>
      <c r="L15" s="879">
        <v>0</v>
      </c>
      <c r="M15" s="881"/>
      <c r="N15" s="881"/>
      <c r="O15" s="881"/>
      <c r="P15" s="881"/>
      <c r="Q15" s="881"/>
      <c r="R15" s="881"/>
      <c r="S15" s="887"/>
    </row>
    <row r="16" spans="1:19" ht="20.25" customHeight="1">
      <c r="A16" s="860"/>
      <c r="B16" s="860"/>
      <c r="C16" s="885" t="s">
        <v>179</v>
      </c>
      <c r="D16" s="876" t="s">
        <v>27</v>
      </c>
      <c r="E16" s="877" t="s">
        <v>28</v>
      </c>
      <c r="F16" s="876" t="s">
        <v>543</v>
      </c>
      <c r="G16" s="877" t="s">
        <v>544</v>
      </c>
      <c r="H16" s="878" t="s">
        <v>81</v>
      </c>
      <c r="I16" s="879">
        <v>111</v>
      </c>
      <c r="J16" s="879">
        <f t="shared" si="1"/>
        <v>8000000</v>
      </c>
      <c r="K16" s="879"/>
      <c r="L16" s="879">
        <v>8000000</v>
      </c>
      <c r="M16" s="881"/>
      <c r="N16" s="881"/>
      <c r="O16" s="881"/>
      <c r="P16" s="881"/>
      <c r="Q16" s="881"/>
      <c r="R16" s="881"/>
      <c r="S16" s="887"/>
    </row>
    <row r="17" spans="1:19" ht="20.25" customHeight="1">
      <c r="A17" s="860"/>
      <c r="B17" s="860"/>
      <c r="C17" s="885" t="s">
        <v>179</v>
      </c>
      <c r="D17" s="876" t="s">
        <v>27</v>
      </c>
      <c r="E17" s="877" t="s">
        <v>28</v>
      </c>
      <c r="F17" s="876" t="s">
        <v>543</v>
      </c>
      <c r="G17" s="877" t="s">
        <v>544</v>
      </c>
      <c r="H17" s="878" t="s">
        <v>82</v>
      </c>
      <c r="I17" s="879">
        <v>111</v>
      </c>
      <c r="J17" s="879">
        <f t="shared" si="1"/>
        <v>8000000</v>
      </c>
      <c r="K17" s="879"/>
      <c r="L17" s="879">
        <v>8000000</v>
      </c>
      <c r="M17" s="881"/>
      <c r="N17" s="881"/>
      <c r="O17" s="881"/>
      <c r="P17" s="881"/>
      <c r="Q17" s="881"/>
      <c r="R17" s="881"/>
      <c r="S17" s="887"/>
    </row>
    <row r="18" spans="1:19" ht="20.25" customHeight="1">
      <c r="A18" s="860"/>
      <c r="B18" s="860"/>
      <c r="C18" s="885" t="s">
        <v>179</v>
      </c>
      <c r="D18" s="876" t="s">
        <v>27</v>
      </c>
      <c r="E18" s="877" t="s">
        <v>28</v>
      </c>
      <c r="F18" s="876" t="s">
        <v>543</v>
      </c>
      <c r="G18" s="877" t="s">
        <v>544</v>
      </c>
      <c r="H18" s="878" t="s">
        <v>83</v>
      </c>
      <c r="I18" s="879">
        <v>0</v>
      </c>
      <c r="J18" s="879">
        <f t="shared" si="1"/>
        <v>0</v>
      </c>
      <c r="K18" s="879"/>
      <c r="L18" s="879">
        <v>0</v>
      </c>
      <c r="M18" s="881"/>
      <c r="N18" s="881"/>
      <c r="O18" s="881"/>
      <c r="P18" s="881"/>
      <c r="Q18" s="881"/>
      <c r="R18" s="881"/>
      <c r="S18" s="887"/>
    </row>
    <row r="19" spans="1:19" ht="20.25" customHeight="1">
      <c r="A19" s="860"/>
      <c r="B19" s="860"/>
      <c r="C19" s="885" t="s">
        <v>179</v>
      </c>
      <c r="D19" s="876" t="s">
        <v>27</v>
      </c>
      <c r="E19" s="877" t="s">
        <v>28</v>
      </c>
      <c r="F19" s="882" t="s">
        <v>545</v>
      </c>
      <c r="G19" s="1098" t="s">
        <v>546</v>
      </c>
      <c r="H19" s="878" t="s">
        <v>81</v>
      </c>
      <c r="I19" s="879">
        <v>5</v>
      </c>
      <c r="J19" s="879">
        <f t="shared" si="1"/>
        <v>9000000</v>
      </c>
      <c r="K19" s="879"/>
      <c r="L19" s="879">
        <v>9000000</v>
      </c>
      <c r="M19" s="881"/>
      <c r="N19" s="881"/>
      <c r="O19" s="881"/>
      <c r="P19" s="881"/>
      <c r="Q19" s="881"/>
      <c r="R19" s="881"/>
      <c r="S19" s="887"/>
    </row>
    <row r="20" spans="1:19" ht="20.25" customHeight="1">
      <c r="A20" s="860"/>
      <c r="B20" s="860"/>
      <c r="C20" s="885" t="s">
        <v>179</v>
      </c>
      <c r="D20" s="876" t="s">
        <v>27</v>
      </c>
      <c r="E20" s="877" t="s">
        <v>28</v>
      </c>
      <c r="F20" s="882" t="s">
        <v>545</v>
      </c>
      <c r="G20" s="1098" t="s">
        <v>546</v>
      </c>
      <c r="H20" s="878" t="s">
        <v>82</v>
      </c>
      <c r="I20" s="879">
        <v>5</v>
      </c>
      <c r="J20" s="879">
        <f t="shared" si="1"/>
        <v>9000000</v>
      </c>
      <c r="K20" s="879"/>
      <c r="L20" s="879">
        <v>9000000</v>
      </c>
      <c r="M20" s="881"/>
      <c r="N20" s="881"/>
      <c r="O20" s="881"/>
      <c r="P20" s="881"/>
      <c r="Q20" s="881"/>
      <c r="R20" s="881"/>
      <c r="S20" s="887"/>
    </row>
    <row r="21" spans="1:19" ht="20.25" customHeight="1">
      <c r="A21" s="860"/>
      <c r="B21" s="860"/>
      <c r="C21" s="885" t="s">
        <v>179</v>
      </c>
      <c r="D21" s="876" t="s">
        <v>27</v>
      </c>
      <c r="E21" s="877" t="s">
        <v>28</v>
      </c>
      <c r="F21" s="882" t="s">
        <v>545</v>
      </c>
      <c r="G21" s="1098" t="s">
        <v>546</v>
      </c>
      <c r="H21" s="878" t="s">
        <v>83</v>
      </c>
      <c r="I21" s="879">
        <v>0</v>
      </c>
      <c r="J21" s="879">
        <f t="shared" si="1"/>
        <v>0</v>
      </c>
      <c r="K21" s="879"/>
      <c r="L21" s="879">
        <v>0</v>
      </c>
      <c r="M21" s="881"/>
      <c r="N21" s="881"/>
      <c r="O21" s="881"/>
      <c r="P21" s="881"/>
      <c r="Q21" s="881"/>
      <c r="R21" s="881"/>
      <c r="S21" s="887"/>
    </row>
    <row r="22" spans="1:19" ht="20.25" customHeight="1">
      <c r="A22" s="860"/>
      <c r="B22" s="860"/>
      <c r="C22" s="885" t="s">
        <v>179</v>
      </c>
      <c r="D22" s="876" t="s">
        <v>27</v>
      </c>
      <c r="E22" s="877" t="s">
        <v>28</v>
      </c>
      <c r="F22" s="882" t="s">
        <v>547</v>
      </c>
      <c r="G22" s="1098" t="s">
        <v>548</v>
      </c>
      <c r="H22" s="878" t="s">
        <v>81</v>
      </c>
      <c r="I22" s="879">
        <v>11</v>
      </c>
      <c r="J22" s="879">
        <f t="shared" si="1"/>
        <v>15622000</v>
      </c>
      <c r="K22" s="879"/>
      <c r="L22" s="879">
        <v>15622000</v>
      </c>
      <c r="M22" s="879"/>
      <c r="N22" s="879"/>
      <c r="O22" s="879"/>
      <c r="P22" s="879"/>
      <c r="Q22" s="879"/>
      <c r="R22" s="879"/>
      <c r="S22" s="887"/>
    </row>
    <row r="23" spans="1:19" ht="20.25" customHeight="1">
      <c r="A23" s="860"/>
      <c r="B23" s="860"/>
      <c r="C23" s="885" t="s">
        <v>179</v>
      </c>
      <c r="D23" s="876" t="s">
        <v>27</v>
      </c>
      <c r="E23" s="877" t="s">
        <v>28</v>
      </c>
      <c r="F23" s="882" t="s">
        <v>547</v>
      </c>
      <c r="G23" s="1098" t="s">
        <v>548</v>
      </c>
      <c r="H23" s="878" t="s">
        <v>82</v>
      </c>
      <c r="I23" s="879">
        <v>11</v>
      </c>
      <c r="J23" s="879">
        <f t="shared" si="1"/>
        <v>15622000</v>
      </c>
      <c r="K23" s="879"/>
      <c r="L23" s="879">
        <v>15622000</v>
      </c>
      <c r="M23" s="879"/>
      <c r="N23" s="879"/>
      <c r="O23" s="879"/>
      <c r="P23" s="879"/>
      <c r="Q23" s="879"/>
      <c r="R23" s="879"/>
      <c r="S23" s="887"/>
    </row>
    <row r="24" spans="1:19" ht="20.25" customHeight="1">
      <c r="A24" s="860"/>
      <c r="B24" s="860"/>
      <c r="C24" s="885" t="s">
        <v>179</v>
      </c>
      <c r="D24" s="876" t="s">
        <v>27</v>
      </c>
      <c r="E24" s="877" t="s">
        <v>28</v>
      </c>
      <c r="F24" s="882" t="s">
        <v>547</v>
      </c>
      <c r="G24" s="1098" t="s">
        <v>548</v>
      </c>
      <c r="H24" s="878" t="s">
        <v>83</v>
      </c>
      <c r="I24" s="879">
        <v>0</v>
      </c>
      <c r="J24" s="879">
        <f t="shared" si="1"/>
        <v>0</v>
      </c>
      <c r="K24" s="879"/>
      <c r="L24" s="879">
        <v>0</v>
      </c>
      <c r="M24" s="879"/>
      <c r="N24" s="879"/>
      <c r="O24" s="879"/>
      <c r="P24" s="879"/>
      <c r="Q24" s="879"/>
      <c r="R24" s="879"/>
      <c r="S24" s="888"/>
    </row>
    <row r="25" spans="1:19" ht="20.25" customHeight="1">
      <c r="A25" s="860"/>
      <c r="B25" s="860"/>
      <c r="C25" s="885" t="s">
        <v>179</v>
      </c>
      <c r="D25" s="876" t="s">
        <v>27</v>
      </c>
      <c r="E25" s="877" t="s">
        <v>28</v>
      </c>
      <c r="F25" s="882">
        <v>0</v>
      </c>
      <c r="G25" s="1098">
        <v>0</v>
      </c>
      <c r="H25" s="878" t="s">
        <v>81</v>
      </c>
      <c r="I25" s="879">
        <v>2989</v>
      </c>
      <c r="J25" s="879">
        <f t="shared" si="1"/>
        <v>10190000</v>
      </c>
      <c r="K25" s="879"/>
      <c r="L25" s="879">
        <v>10190000</v>
      </c>
      <c r="M25" s="879"/>
      <c r="N25" s="879"/>
      <c r="O25" s="879"/>
      <c r="P25" s="879"/>
      <c r="Q25" s="879"/>
      <c r="R25" s="879"/>
      <c r="S25" s="888"/>
    </row>
    <row r="26" spans="1:19" ht="20.25" customHeight="1">
      <c r="A26" s="860"/>
      <c r="B26" s="860"/>
      <c r="C26" s="885" t="s">
        <v>179</v>
      </c>
      <c r="D26" s="876" t="s">
        <v>27</v>
      </c>
      <c r="E26" s="877" t="s">
        <v>28</v>
      </c>
      <c r="F26" s="882">
        <v>0</v>
      </c>
      <c r="G26" s="1098">
        <v>0</v>
      </c>
      <c r="H26" s="878" t="s">
        <v>82</v>
      </c>
      <c r="I26" s="879">
        <v>2989</v>
      </c>
      <c r="J26" s="879">
        <f t="shared" si="1"/>
        <v>10190000</v>
      </c>
      <c r="K26" s="879"/>
      <c r="L26" s="879">
        <v>10190000</v>
      </c>
      <c r="M26" s="879"/>
      <c r="N26" s="879"/>
      <c r="O26" s="879"/>
      <c r="P26" s="879"/>
      <c r="Q26" s="879"/>
      <c r="R26" s="879"/>
      <c r="S26" s="888"/>
    </row>
    <row r="27" spans="1:19" ht="53.25" hidden="1" customHeight="1">
      <c r="A27" s="860"/>
      <c r="B27" s="860"/>
      <c r="C27" s="889"/>
      <c r="D27" s="871"/>
      <c r="E27" s="872"/>
      <c r="F27" s="873"/>
      <c r="G27" s="1099"/>
      <c r="H27" s="874" t="s">
        <v>83</v>
      </c>
      <c r="I27" s="875">
        <v>0</v>
      </c>
      <c r="J27" s="875">
        <f>L27</f>
        <v>0</v>
      </c>
      <c r="K27" s="875"/>
      <c r="L27" s="875">
        <v>0</v>
      </c>
      <c r="M27" s="875"/>
      <c r="N27" s="875"/>
      <c r="O27" s="875"/>
      <c r="P27" s="875"/>
      <c r="Q27" s="875"/>
      <c r="R27" s="875"/>
      <c r="S27" s="890"/>
    </row>
    <row r="28" spans="1:19" ht="11.25" customHeight="1">
      <c r="A28" s="860"/>
      <c r="B28" s="860"/>
      <c r="C28" s="891"/>
      <c r="D28" s="864"/>
      <c r="E28" s="865"/>
      <c r="F28" s="864"/>
      <c r="G28" s="865" t="s">
        <v>714</v>
      </c>
      <c r="H28" s="866" t="s">
        <v>81</v>
      </c>
      <c r="I28" s="867"/>
      <c r="J28" s="868">
        <f t="shared" ref="J28:S28" si="2">J7+J10+J13+J16+J19+J22+J25</f>
        <v>1516200000</v>
      </c>
      <c r="K28" s="868">
        <f t="shared" si="2"/>
        <v>0</v>
      </c>
      <c r="L28" s="868">
        <f t="shared" si="2"/>
        <v>80000000</v>
      </c>
      <c r="M28" s="868">
        <f t="shared" si="2"/>
        <v>612980000</v>
      </c>
      <c r="N28" s="868">
        <f t="shared" si="2"/>
        <v>114900000</v>
      </c>
      <c r="O28" s="868">
        <f t="shared" si="2"/>
        <v>399896000</v>
      </c>
      <c r="P28" s="868">
        <f t="shared" si="2"/>
        <v>0</v>
      </c>
      <c r="Q28" s="868">
        <f t="shared" si="2"/>
        <v>0</v>
      </c>
      <c r="R28" s="868">
        <f t="shared" si="2"/>
        <v>275424000</v>
      </c>
      <c r="S28" s="892">
        <f t="shared" si="2"/>
        <v>33000000</v>
      </c>
    </row>
    <row r="29" spans="1:19" ht="11.25" customHeight="1">
      <c r="A29" s="860"/>
      <c r="B29" s="860"/>
      <c r="C29" s="891"/>
      <c r="D29" s="864"/>
      <c r="E29" s="865"/>
      <c r="F29" s="864"/>
      <c r="G29" s="865" t="s">
        <v>714</v>
      </c>
      <c r="H29" s="866" t="s">
        <v>82</v>
      </c>
      <c r="I29" s="867"/>
      <c r="J29" s="868">
        <f t="shared" ref="J29:S29" si="3">J8+J11+J14+J17+J20+J23+J26</f>
        <v>1516200000</v>
      </c>
      <c r="K29" s="868">
        <f t="shared" si="3"/>
        <v>0</v>
      </c>
      <c r="L29" s="868">
        <f t="shared" si="3"/>
        <v>80000000</v>
      </c>
      <c r="M29" s="868">
        <f t="shared" si="3"/>
        <v>612980000</v>
      </c>
      <c r="N29" s="868">
        <f t="shared" si="3"/>
        <v>114900000</v>
      </c>
      <c r="O29" s="868">
        <f t="shared" si="3"/>
        <v>399896000</v>
      </c>
      <c r="P29" s="868">
        <f t="shared" si="3"/>
        <v>0</v>
      </c>
      <c r="Q29" s="868">
        <f t="shared" si="3"/>
        <v>0</v>
      </c>
      <c r="R29" s="868">
        <f t="shared" si="3"/>
        <v>275424000</v>
      </c>
      <c r="S29" s="892">
        <f t="shared" si="3"/>
        <v>33000000</v>
      </c>
    </row>
    <row r="30" spans="1:19" ht="11.25" customHeight="1" thickBot="1">
      <c r="A30" s="860"/>
      <c r="B30" s="860"/>
      <c r="C30" s="893"/>
      <c r="D30" s="894"/>
      <c r="E30" s="895"/>
      <c r="F30" s="894"/>
      <c r="G30" s="895" t="s">
        <v>714</v>
      </c>
      <c r="H30" s="896" t="s">
        <v>83</v>
      </c>
      <c r="I30" s="897"/>
      <c r="J30" s="898">
        <f t="shared" ref="J30:S30" si="4">J9+J12+J15+J18+J21+J24+J27</f>
        <v>567801454</v>
      </c>
      <c r="K30" s="898">
        <f t="shared" si="4"/>
        <v>0</v>
      </c>
      <c r="L30" s="898">
        <f t="shared" si="4"/>
        <v>0</v>
      </c>
      <c r="M30" s="898">
        <f t="shared" si="4"/>
        <v>170597674</v>
      </c>
      <c r="N30" s="898">
        <f t="shared" si="4"/>
        <v>34485603</v>
      </c>
      <c r="O30" s="898">
        <f t="shared" si="4"/>
        <v>207346272</v>
      </c>
      <c r="P30" s="898">
        <f t="shared" si="4"/>
        <v>0</v>
      </c>
      <c r="Q30" s="898">
        <f t="shared" si="4"/>
        <v>0</v>
      </c>
      <c r="R30" s="898">
        <f t="shared" si="4"/>
        <v>146500000</v>
      </c>
      <c r="S30" s="899">
        <f t="shared" si="4"/>
        <v>8871905</v>
      </c>
    </row>
    <row r="31" spans="1:19">
      <c r="A31" s="860"/>
      <c r="B31" s="1592"/>
      <c r="C31" s="1592"/>
      <c r="D31" s="860"/>
      <c r="E31" s="860"/>
      <c r="F31" s="860"/>
      <c r="G31" s="1097"/>
      <c r="H31" s="860"/>
      <c r="I31" s="860"/>
      <c r="J31" s="869"/>
      <c r="K31" s="860"/>
      <c r="L31" s="860"/>
      <c r="M31" s="860"/>
      <c r="N31" s="860"/>
      <c r="O31" s="860"/>
      <c r="P31" s="860"/>
      <c r="Q31" s="860"/>
      <c r="R31" s="860"/>
      <c r="S31" s="860"/>
    </row>
  </sheetData>
  <mergeCells count="13">
    <mergeCell ref="B31:C31"/>
    <mergeCell ref="J4:S4"/>
    <mergeCell ref="J5:J6"/>
    <mergeCell ref="C2:S2"/>
    <mergeCell ref="C3:S3"/>
    <mergeCell ref="A4:B4"/>
    <mergeCell ref="C4:C6"/>
    <mergeCell ref="D4:D6"/>
    <mergeCell ref="E4:E6"/>
    <mergeCell ref="F4:F6"/>
    <mergeCell ref="G4:G6"/>
    <mergeCell ref="H4:H6"/>
    <mergeCell ref="I4:I6"/>
  </mergeCells>
  <pageMargins left="0.17" right="0.17" top="0.56000000000000005" bottom="0.75" header="0.3" footer="0.3"/>
  <pageSetup paperSize="9" scale="6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5" tint="0.79998168889431442"/>
  </sheetPr>
  <dimension ref="A1:AB124"/>
  <sheetViews>
    <sheetView topLeftCell="F1" workbookViewId="0">
      <selection activeCell="J18" sqref="J18"/>
    </sheetView>
  </sheetViews>
  <sheetFormatPr defaultRowHeight="15"/>
  <cols>
    <col min="1" max="1" width="3.28515625" hidden="1" customWidth="1"/>
    <col min="2" max="2" width="0.140625" customWidth="1"/>
    <col min="3" max="3" width="4.85546875" customWidth="1"/>
    <col min="4" max="4" width="7.28515625" customWidth="1"/>
    <col min="5" max="5" width="14.42578125" customWidth="1"/>
    <col min="6" max="6" width="8.140625" customWidth="1"/>
    <col min="7" max="7" width="40" customWidth="1"/>
    <col min="8" max="8" width="21.7109375" hidden="1" customWidth="1"/>
    <col min="9" max="9" width="13.28515625" customWidth="1"/>
    <col min="10" max="10" width="11.85546875" customWidth="1"/>
    <col min="11" max="11" width="12" customWidth="1"/>
    <col min="12" max="12" width="10.7109375" customWidth="1"/>
    <col min="13" max="13" width="11.7109375" customWidth="1"/>
    <col min="14" max="14" width="11.42578125" customWidth="1"/>
    <col min="15" max="15" width="12.7109375" customWidth="1"/>
    <col min="16" max="16" width="11.85546875" customWidth="1"/>
    <col min="17" max="17" width="5.85546875" customWidth="1"/>
    <col min="18" max="18" width="2.42578125" customWidth="1"/>
    <col min="19" max="19" width="9.5703125" customWidth="1"/>
    <col min="20" max="20" width="7.85546875" customWidth="1"/>
    <col min="21" max="21" width="9.7109375" customWidth="1"/>
    <col min="23" max="23" width="13.42578125" customWidth="1"/>
    <col min="24" max="24" width="11.5703125" customWidth="1"/>
    <col min="25" max="25" width="12.5703125" customWidth="1"/>
    <col min="26" max="26" width="12.42578125" customWidth="1"/>
    <col min="27" max="27" width="14.85546875" customWidth="1"/>
  </cols>
  <sheetData>
    <row r="1" spans="1:28">
      <c r="A1" s="2"/>
      <c r="B1" s="2"/>
      <c r="C1" s="62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8">
      <c r="A2" s="2"/>
      <c r="B2" s="2"/>
      <c r="C2" s="1416" t="s">
        <v>706</v>
      </c>
      <c r="D2" s="1416"/>
      <c r="E2" s="1416"/>
      <c r="F2" s="1416"/>
      <c r="G2" s="1416"/>
      <c r="H2" s="1416"/>
      <c r="I2" s="1416"/>
      <c r="J2" s="1416"/>
      <c r="K2" s="1416"/>
      <c r="L2" s="1416"/>
      <c r="M2" s="1416"/>
      <c r="N2" s="1416"/>
      <c r="O2" s="1416"/>
      <c r="P2" s="1416"/>
      <c r="Q2" s="1416"/>
      <c r="R2" s="1416"/>
      <c r="S2" s="1416"/>
      <c r="T2" s="1416"/>
      <c r="U2" s="1416"/>
    </row>
    <row r="3" spans="1:28" ht="15.75" thickBot="1">
      <c r="A3" s="2"/>
      <c r="B3" s="2"/>
      <c r="C3" s="1447" t="s">
        <v>498</v>
      </c>
      <c r="D3" s="1447"/>
      <c r="E3" s="1447"/>
      <c r="F3" s="1447"/>
      <c r="G3" s="1447"/>
      <c r="H3" s="1447"/>
      <c r="I3" s="1447"/>
      <c r="J3" s="1447"/>
      <c r="K3" s="1447"/>
      <c r="L3" s="1447"/>
      <c r="M3" s="1447"/>
      <c r="N3" s="1447"/>
      <c r="O3" s="1447"/>
      <c r="P3" s="1447"/>
      <c r="Q3" s="1447"/>
      <c r="R3" s="1447"/>
      <c r="S3" s="1447"/>
      <c r="T3" s="1447"/>
      <c r="U3" s="1447"/>
    </row>
    <row r="4" spans="1:28" ht="15.75" thickBot="1">
      <c r="A4" s="1435"/>
      <c r="B4" s="1435"/>
      <c r="C4" s="1608" t="s">
        <v>63</v>
      </c>
      <c r="D4" s="1611" t="s">
        <v>25</v>
      </c>
      <c r="E4" s="1611" t="s">
        <v>96</v>
      </c>
      <c r="F4" s="1611" t="s">
        <v>707</v>
      </c>
      <c r="G4" s="1614" t="s">
        <v>502</v>
      </c>
      <c r="H4" s="1614"/>
      <c r="I4" s="1611" t="s">
        <v>98</v>
      </c>
      <c r="J4" s="1611" t="s">
        <v>708</v>
      </c>
      <c r="K4" s="1619" t="s">
        <v>67</v>
      </c>
      <c r="L4" s="1619"/>
      <c r="M4" s="1619"/>
      <c r="N4" s="1619"/>
      <c r="O4" s="1619"/>
      <c r="P4" s="1619"/>
      <c r="Q4" s="1619"/>
      <c r="R4" s="1619"/>
      <c r="S4" s="1619"/>
      <c r="T4" s="1619"/>
      <c r="U4" s="1620"/>
    </row>
    <row r="5" spans="1:28" ht="16.5" thickTop="1" thickBot="1">
      <c r="A5" s="2"/>
      <c r="B5" s="2"/>
      <c r="C5" s="1609"/>
      <c r="D5" s="1612"/>
      <c r="E5" s="1612"/>
      <c r="F5" s="1612"/>
      <c r="G5" s="1615"/>
      <c r="H5" s="1615"/>
      <c r="I5" s="1612"/>
      <c r="J5" s="1612"/>
      <c r="K5" s="1621" t="s">
        <v>68</v>
      </c>
      <c r="L5" s="630" t="s">
        <v>49</v>
      </c>
      <c r="M5" s="630" t="s">
        <v>51</v>
      </c>
      <c r="N5" s="630" t="s">
        <v>34</v>
      </c>
      <c r="O5" s="630" t="s">
        <v>36</v>
      </c>
      <c r="P5" s="630" t="s">
        <v>38</v>
      </c>
      <c r="Q5" s="1623" t="s">
        <v>40</v>
      </c>
      <c r="R5" s="1623"/>
      <c r="S5" s="630" t="s">
        <v>42</v>
      </c>
      <c r="T5" s="630" t="s">
        <v>44</v>
      </c>
      <c r="U5" s="47" t="s">
        <v>46</v>
      </c>
    </row>
    <row r="6" spans="1:28" ht="79.5" customHeight="1" thickTop="1" thickBot="1">
      <c r="A6" s="2"/>
      <c r="B6" s="2"/>
      <c r="C6" s="1610"/>
      <c r="D6" s="1613"/>
      <c r="E6" s="1613"/>
      <c r="F6" s="1613"/>
      <c r="G6" s="1616"/>
      <c r="H6" s="1616"/>
      <c r="I6" s="1613"/>
      <c r="J6" s="1613"/>
      <c r="K6" s="1622"/>
      <c r="L6" s="653" t="s">
        <v>70</v>
      </c>
      <c r="M6" s="653" t="s">
        <v>71</v>
      </c>
      <c r="N6" s="653" t="s">
        <v>72</v>
      </c>
      <c r="O6" s="653" t="s">
        <v>73</v>
      </c>
      <c r="P6" s="653" t="s">
        <v>74</v>
      </c>
      <c r="Q6" s="1624" t="s">
        <v>75</v>
      </c>
      <c r="R6" s="1624"/>
      <c r="S6" s="653" t="s">
        <v>76</v>
      </c>
      <c r="T6" s="653" t="s">
        <v>77</v>
      </c>
      <c r="U6" s="654" t="s">
        <v>709</v>
      </c>
      <c r="X6">
        <v>231</v>
      </c>
      <c r="Y6">
        <v>600</v>
      </c>
      <c r="Z6">
        <v>601</v>
      </c>
      <c r="AA6">
        <v>602</v>
      </c>
      <c r="AB6">
        <v>606</v>
      </c>
    </row>
    <row r="7" spans="1:28" ht="36" customHeight="1">
      <c r="A7" s="2"/>
      <c r="B7" s="2"/>
      <c r="C7" s="655" t="s">
        <v>179</v>
      </c>
      <c r="D7" s="656" t="s">
        <v>147</v>
      </c>
      <c r="E7" s="657" t="s">
        <v>148</v>
      </c>
      <c r="F7" s="656" t="s">
        <v>208</v>
      </c>
      <c r="G7" s="1625" t="s">
        <v>209</v>
      </c>
      <c r="H7" s="1625"/>
      <c r="I7" s="658" t="s">
        <v>81</v>
      </c>
      <c r="J7" s="659">
        <v>3096</v>
      </c>
      <c r="K7" s="660">
        <f>L7+M7+N7+O7+P7+Q7+S7+T7+U7</f>
        <v>5369198000</v>
      </c>
      <c r="L7" s="660">
        <v>0</v>
      </c>
      <c r="M7" s="660"/>
      <c r="N7" s="660">
        <v>3254568000</v>
      </c>
      <c r="O7" s="660">
        <v>577730000</v>
      </c>
      <c r="P7" s="660">
        <v>1511900000</v>
      </c>
      <c r="Q7" s="1626">
        <v>0</v>
      </c>
      <c r="R7" s="1626"/>
      <c r="S7" s="660">
        <v>0</v>
      </c>
      <c r="T7" s="660">
        <v>0</v>
      </c>
      <c r="U7" s="661">
        <v>25000000</v>
      </c>
      <c r="W7" t="s">
        <v>710</v>
      </c>
    </row>
    <row r="8" spans="1:28" ht="36" customHeight="1">
      <c r="A8" s="2"/>
      <c r="B8" s="2"/>
      <c r="C8" s="662" t="s">
        <v>179</v>
      </c>
      <c r="D8" s="663" t="s">
        <v>147</v>
      </c>
      <c r="E8" s="664" t="s">
        <v>148</v>
      </c>
      <c r="F8" s="663" t="s">
        <v>208</v>
      </c>
      <c r="G8" s="1617" t="s">
        <v>209</v>
      </c>
      <c r="H8" s="1617"/>
      <c r="I8" s="665" t="s">
        <v>82</v>
      </c>
      <c r="J8" s="666">
        <v>3096</v>
      </c>
      <c r="K8" s="667">
        <f t="shared" ref="K8:K77" si="0">L8+M8+N8+O8+P8+Q8+S8+T8+U8</f>
        <v>5369198000</v>
      </c>
      <c r="L8" s="667">
        <v>0</v>
      </c>
      <c r="M8" s="667">
        <v>0</v>
      </c>
      <c r="N8" s="667">
        <v>3254568000</v>
      </c>
      <c r="O8" s="667">
        <v>577730000</v>
      </c>
      <c r="P8" s="667">
        <v>1511900000</v>
      </c>
      <c r="Q8" s="1618">
        <v>0</v>
      </c>
      <c r="R8" s="1618"/>
      <c r="S8" s="667">
        <v>0</v>
      </c>
      <c r="T8" s="667">
        <v>0</v>
      </c>
      <c r="U8" s="668">
        <v>25000000</v>
      </c>
    </row>
    <row r="9" spans="1:28" ht="36" customHeight="1">
      <c r="A9" s="2"/>
      <c r="B9" s="2"/>
      <c r="C9" s="662" t="s">
        <v>179</v>
      </c>
      <c r="D9" s="663" t="s">
        <v>147</v>
      </c>
      <c r="E9" s="664" t="s">
        <v>148</v>
      </c>
      <c r="F9" s="663" t="s">
        <v>208</v>
      </c>
      <c r="G9" s="1617" t="s">
        <v>209</v>
      </c>
      <c r="H9" s="1617"/>
      <c r="I9" s="665" t="s">
        <v>83</v>
      </c>
      <c r="J9" s="666">
        <v>2968</v>
      </c>
      <c r="K9" s="667">
        <f t="shared" si="0"/>
        <v>1875113593</v>
      </c>
      <c r="L9" s="667">
        <v>0</v>
      </c>
      <c r="M9" s="667">
        <v>0</v>
      </c>
      <c r="N9" s="667">
        <v>1151815464</v>
      </c>
      <c r="O9" s="667">
        <v>193359621</v>
      </c>
      <c r="P9" s="667">
        <f>906959000-386106809-59</f>
        <v>520852132</v>
      </c>
      <c r="Q9" s="1618">
        <v>0</v>
      </c>
      <c r="R9" s="1618"/>
      <c r="S9" s="667">
        <v>0</v>
      </c>
      <c r="T9" s="667">
        <v>0</v>
      </c>
      <c r="U9" s="668">
        <v>9086376</v>
      </c>
    </row>
    <row r="10" spans="1:28" ht="36" customHeight="1">
      <c r="A10" s="2"/>
      <c r="B10" s="2"/>
      <c r="C10" s="662" t="s">
        <v>179</v>
      </c>
      <c r="D10" s="663" t="s">
        <v>147</v>
      </c>
      <c r="E10" s="664" t="s">
        <v>148</v>
      </c>
      <c r="F10" s="663" t="s">
        <v>210</v>
      </c>
      <c r="G10" s="1617" t="s">
        <v>211</v>
      </c>
      <c r="H10" s="1617"/>
      <c r="I10" s="665" t="s">
        <v>81</v>
      </c>
      <c r="J10" s="666">
        <v>270</v>
      </c>
      <c r="K10" s="667">
        <f t="shared" si="0"/>
        <v>1136176000</v>
      </c>
      <c r="L10" s="667">
        <v>0</v>
      </c>
      <c r="M10" s="667">
        <v>0</v>
      </c>
      <c r="N10" s="667">
        <v>0</v>
      </c>
      <c r="O10" s="667">
        <v>0</v>
      </c>
      <c r="P10" s="667">
        <v>1136176000</v>
      </c>
      <c r="Q10" s="1618">
        <v>0</v>
      </c>
      <c r="R10" s="1618"/>
      <c r="S10" s="667">
        <v>0</v>
      </c>
      <c r="T10" s="667">
        <v>0</v>
      </c>
      <c r="U10" s="668">
        <v>0</v>
      </c>
    </row>
    <row r="11" spans="1:28" ht="36" customHeight="1">
      <c r="A11" s="2"/>
      <c r="B11" s="2"/>
      <c r="C11" s="662" t="s">
        <v>179</v>
      </c>
      <c r="D11" s="663" t="s">
        <v>147</v>
      </c>
      <c r="E11" s="664" t="s">
        <v>148</v>
      </c>
      <c r="F11" s="663" t="s">
        <v>210</v>
      </c>
      <c r="G11" s="1617" t="s">
        <v>211</v>
      </c>
      <c r="H11" s="1617"/>
      <c r="I11" s="665" t="s">
        <v>82</v>
      </c>
      <c r="J11" s="666">
        <v>270</v>
      </c>
      <c r="K11" s="667">
        <f t="shared" si="0"/>
        <v>1136176000</v>
      </c>
      <c r="L11" s="667">
        <v>0</v>
      </c>
      <c r="M11" s="667">
        <v>0</v>
      </c>
      <c r="N11" s="667">
        <v>0</v>
      </c>
      <c r="O11" s="667">
        <v>0</v>
      </c>
      <c r="P11" s="667">
        <v>1136176000</v>
      </c>
      <c r="Q11" s="1618">
        <v>0</v>
      </c>
      <c r="R11" s="1618"/>
      <c r="S11" s="667">
        <v>0</v>
      </c>
      <c r="T11" s="667">
        <v>0</v>
      </c>
      <c r="U11" s="668">
        <v>0</v>
      </c>
    </row>
    <row r="12" spans="1:28" ht="36" customHeight="1">
      <c r="A12" s="2"/>
      <c r="B12" s="2"/>
      <c r="C12" s="662" t="s">
        <v>179</v>
      </c>
      <c r="D12" s="663" t="s">
        <v>147</v>
      </c>
      <c r="E12" s="664" t="s">
        <v>148</v>
      </c>
      <c r="F12" s="663" t="s">
        <v>210</v>
      </c>
      <c r="G12" s="1617" t="s">
        <v>211</v>
      </c>
      <c r="H12" s="1617"/>
      <c r="I12" s="665" t="s">
        <v>83</v>
      </c>
      <c r="J12" s="666">
        <v>254</v>
      </c>
      <c r="K12" s="667">
        <f t="shared" si="0"/>
        <v>386106809</v>
      </c>
      <c r="L12" s="667">
        <v>0</v>
      </c>
      <c r="M12" s="667">
        <v>0</v>
      </c>
      <c r="N12" s="667">
        <v>0</v>
      </c>
      <c r="O12" s="667">
        <v>0</v>
      </c>
      <c r="P12" s="667">
        <v>386106809</v>
      </c>
      <c r="Q12" s="1618">
        <v>0</v>
      </c>
      <c r="R12" s="1618"/>
      <c r="S12" s="667">
        <v>0</v>
      </c>
      <c r="T12" s="667">
        <v>0</v>
      </c>
      <c r="U12" s="668">
        <v>0</v>
      </c>
    </row>
    <row r="13" spans="1:28" ht="36" customHeight="1">
      <c r="A13" s="2"/>
      <c r="B13" s="2"/>
      <c r="C13" s="662" t="s">
        <v>179</v>
      </c>
      <c r="D13" s="663" t="s">
        <v>147</v>
      </c>
      <c r="E13" s="664" t="s">
        <v>148</v>
      </c>
      <c r="F13" s="663" t="s">
        <v>221</v>
      </c>
      <c r="G13" s="1617" t="s">
        <v>222</v>
      </c>
      <c r="H13" s="1617"/>
      <c r="I13" s="665" t="s">
        <v>81</v>
      </c>
      <c r="J13" s="666">
        <v>759</v>
      </c>
      <c r="K13" s="667">
        <f t="shared" si="0"/>
        <v>1545000000</v>
      </c>
      <c r="L13" s="667">
        <v>0</v>
      </c>
      <c r="M13" s="667">
        <v>0</v>
      </c>
      <c r="N13" s="667">
        <v>835000000</v>
      </c>
      <c r="O13" s="667">
        <v>150000000</v>
      </c>
      <c r="P13" s="667">
        <v>550000000</v>
      </c>
      <c r="Q13" s="1618">
        <v>0</v>
      </c>
      <c r="R13" s="1618"/>
      <c r="S13" s="667">
        <v>0</v>
      </c>
      <c r="T13" s="667">
        <v>0</v>
      </c>
      <c r="U13" s="668">
        <v>10000000</v>
      </c>
    </row>
    <row r="14" spans="1:28" ht="36" customHeight="1">
      <c r="A14" s="2"/>
      <c r="B14" s="2"/>
      <c r="C14" s="662" t="s">
        <v>179</v>
      </c>
      <c r="D14" s="663" t="s">
        <v>147</v>
      </c>
      <c r="E14" s="664" t="s">
        <v>148</v>
      </c>
      <c r="F14" s="663" t="s">
        <v>221</v>
      </c>
      <c r="G14" s="1617" t="s">
        <v>222</v>
      </c>
      <c r="H14" s="1617"/>
      <c r="I14" s="665" t="s">
        <v>82</v>
      </c>
      <c r="J14" s="666">
        <v>759</v>
      </c>
      <c r="K14" s="667">
        <f t="shared" si="0"/>
        <v>1545000000</v>
      </c>
      <c r="L14" s="667">
        <v>0</v>
      </c>
      <c r="M14" s="667">
        <v>0</v>
      </c>
      <c r="N14" s="667">
        <v>835000000</v>
      </c>
      <c r="O14" s="667">
        <v>150000000</v>
      </c>
      <c r="P14" s="667">
        <v>550000000</v>
      </c>
      <c r="Q14" s="1618">
        <v>0</v>
      </c>
      <c r="R14" s="1618"/>
      <c r="S14" s="667">
        <v>0</v>
      </c>
      <c r="T14" s="667">
        <v>0</v>
      </c>
      <c r="U14" s="668">
        <v>10000000</v>
      </c>
    </row>
    <row r="15" spans="1:28" ht="36" customHeight="1">
      <c r="A15" s="2"/>
      <c r="B15" s="2"/>
      <c r="C15" s="662" t="s">
        <v>179</v>
      </c>
      <c r="D15" s="663" t="s">
        <v>147</v>
      </c>
      <c r="E15" s="664" t="s">
        <v>148</v>
      </c>
      <c r="F15" s="663" t="s">
        <v>221</v>
      </c>
      <c r="G15" s="1617" t="s">
        <v>222</v>
      </c>
      <c r="H15" s="1617"/>
      <c r="I15" s="665" t="s">
        <v>83</v>
      </c>
      <c r="J15" s="666">
        <v>725</v>
      </c>
      <c r="K15" s="667">
        <f t="shared" si="0"/>
        <v>478071008</v>
      </c>
      <c r="L15" s="667">
        <v>0</v>
      </c>
      <c r="M15" s="667">
        <v>0</v>
      </c>
      <c r="N15" s="667">
        <v>292381335</v>
      </c>
      <c r="O15" s="667">
        <v>49068472</v>
      </c>
      <c r="P15" s="667">
        <f>120700007+12238185</f>
        <v>132938192</v>
      </c>
      <c r="Q15" s="1618">
        <v>0</v>
      </c>
      <c r="R15" s="1618"/>
      <c r="S15" s="667">
        <v>0</v>
      </c>
      <c r="T15" s="667">
        <v>0</v>
      </c>
      <c r="U15" s="668">
        <v>3683009</v>
      </c>
    </row>
    <row r="16" spans="1:28" ht="36" customHeight="1">
      <c r="A16" s="2"/>
      <c r="B16" s="2"/>
      <c r="C16" s="662" t="s">
        <v>179</v>
      </c>
      <c r="D16" s="663" t="s">
        <v>147</v>
      </c>
      <c r="E16" s="664" t="s">
        <v>148</v>
      </c>
      <c r="F16" s="663" t="s">
        <v>187</v>
      </c>
      <c r="G16" s="1617" t="s">
        <v>188</v>
      </c>
      <c r="H16" s="1617"/>
      <c r="I16" s="665" t="s">
        <v>81</v>
      </c>
      <c r="J16" s="666">
        <v>759</v>
      </c>
      <c r="K16" s="667">
        <f t="shared" si="0"/>
        <v>1680000000</v>
      </c>
      <c r="L16" s="667">
        <v>0</v>
      </c>
      <c r="M16" s="667">
        <v>0</v>
      </c>
      <c r="N16" s="667">
        <v>885000000</v>
      </c>
      <c r="O16" s="667">
        <v>165000000</v>
      </c>
      <c r="P16" s="667">
        <f>575000000+50000000</f>
        <v>625000000</v>
      </c>
      <c r="Q16" s="1618">
        <v>0</v>
      </c>
      <c r="R16" s="1618"/>
      <c r="S16" s="667">
        <v>0</v>
      </c>
      <c r="T16" s="667">
        <v>0</v>
      </c>
      <c r="U16" s="668">
        <v>5000000</v>
      </c>
    </row>
    <row r="17" spans="1:23" ht="36" customHeight="1">
      <c r="A17" s="2"/>
      <c r="B17" s="2"/>
      <c r="C17" s="662" t="s">
        <v>179</v>
      </c>
      <c r="D17" s="663" t="s">
        <v>147</v>
      </c>
      <c r="E17" s="664" t="s">
        <v>148</v>
      </c>
      <c r="F17" s="663" t="s">
        <v>187</v>
      </c>
      <c r="G17" s="1617" t="s">
        <v>188</v>
      </c>
      <c r="H17" s="1617"/>
      <c r="I17" s="665" t="s">
        <v>82</v>
      </c>
      <c r="J17" s="666">
        <v>759</v>
      </c>
      <c r="K17" s="667">
        <f t="shared" si="0"/>
        <v>1680000000</v>
      </c>
      <c r="L17" s="667">
        <v>0</v>
      </c>
      <c r="M17" s="667">
        <v>0</v>
      </c>
      <c r="N17" s="667">
        <v>885000000</v>
      </c>
      <c r="O17" s="667">
        <v>165000000</v>
      </c>
      <c r="P17" s="667">
        <f>575000000+50000000</f>
        <v>625000000</v>
      </c>
      <c r="Q17" s="1618">
        <v>0</v>
      </c>
      <c r="R17" s="1618"/>
      <c r="S17" s="667">
        <v>0</v>
      </c>
      <c r="T17" s="667">
        <v>0</v>
      </c>
      <c r="U17" s="668">
        <v>5000000</v>
      </c>
    </row>
    <row r="18" spans="1:23" ht="36" customHeight="1">
      <c r="A18" s="2"/>
      <c r="B18" s="2"/>
      <c r="C18" s="662" t="s">
        <v>179</v>
      </c>
      <c r="D18" s="663" t="s">
        <v>147</v>
      </c>
      <c r="E18" s="664" t="s">
        <v>148</v>
      </c>
      <c r="F18" s="663" t="s">
        <v>187</v>
      </c>
      <c r="G18" s="1617" t="s">
        <v>188</v>
      </c>
      <c r="H18" s="1617"/>
      <c r="I18" s="665" t="s">
        <v>83</v>
      </c>
      <c r="J18" s="666">
        <v>699</v>
      </c>
      <c r="K18" s="667">
        <f t="shared" si="0"/>
        <v>492370111</v>
      </c>
      <c r="L18" s="667">
        <v>0</v>
      </c>
      <c r="M18" s="667">
        <v>0</v>
      </c>
      <c r="N18" s="667">
        <v>312352724</v>
      </c>
      <c r="O18" s="667">
        <v>51882384</v>
      </c>
      <c r="P18" s="667">
        <f>125797888</f>
        <v>125797888</v>
      </c>
      <c r="Q18" s="1618">
        <v>0</v>
      </c>
      <c r="R18" s="1618"/>
      <c r="S18" s="667">
        <v>0</v>
      </c>
      <c r="T18" s="667">
        <v>0</v>
      </c>
      <c r="U18" s="668">
        <v>2337115</v>
      </c>
      <c r="W18" s="30">
        <f>K18+K15+K12+K9</f>
        <v>3231661521</v>
      </c>
    </row>
    <row r="19" spans="1:23" ht="36" customHeight="1">
      <c r="A19" s="2"/>
      <c r="B19" s="2"/>
      <c r="C19" s="662" t="s">
        <v>179</v>
      </c>
      <c r="D19" s="663" t="s">
        <v>147</v>
      </c>
      <c r="E19" s="664" t="s">
        <v>148</v>
      </c>
      <c r="F19" s="663" t="s">
        <v>213</v>
      </c>
      <c r="G19" s="1617" t="s">
        <v>711</v>
      </c>
      <c r="H19" s="1617"/>
      <c r="I19" s="665" t="s">
        <v>81</v>
      </c>
      <c r="J19" s="666">
        <v>3600</v>
      </c>
      <c r="K19" s="667">
        <f t="shared" si="0"/>
        <v>258000000</v>
      </c>
      <c r="L19" s="667">
        <v>0</v>
      </c>
      <c r="M19" s="667">
        <v>258000000</v>
      </c>
      <c r="N19" s="667">
        <v>0</v>
      </c>
      <c r="O19" s="667">
        <v>0</v>
      </c>
      <c r="P19" s="667">
        <v>0</v>
      </c>
      <c r="Q19" s="1618">
        <v>0</v>
      </c>
      <c r="R19" s="1618"/>
      <c r="S19" s="667">
        <v>0</v>
      </c>
      <c r="T19" s="667">
        <v>0</v>
      </c>
      <c r="U19" s="668">
        <v>0</v>
      </c>
      <c r="W19">
        <f>5382785820</f>
        <v>5382785820</v>
      </c>
    </row>
    <row r="20" spans="1:23" ht="36" customHeight="1">
      <c r="A20" s="2"/>
      <c r="B20" s="2"/>
      <c r="C20" s="662" t="s">
        <v>179</v>
      </c>
      <c r="D20" s="663" t="s">
        <v>147</v>
      </c>
      <c r="E20" s="664" t="s">
        <v>148</v>
      </c>
      <c r="F20" s="663" t="s">
        <v>213</v>
      </c>
      <c r="G20" s="1617" t="s">
        <v>711</v>
      </c>
      <c r="H20" s="1617"/>
      <c r="I20" s="665" t="s">
        <v>82</v>
      </c>
      <c r="J20" s="666">
        <v>3600</v>
      </c>
      <c r="K20" s="667">
        <f t="shared" si="0"/>
        <v>258000000</v>
      </c>
      <c r="L20" s="667">
        <v>0</v>
      </c>
      <c r="M20" s="667">
        <v>258000000</v>
      </c>
      <c r="N20" s="667">
        <v>0</v>
      </c>
      <c r="O20" s="667">
        <v>0</v>
      </c>
      <c r="P20" s="667">
        <v>0</v>
      </c>
      <c r="Q20" s="1618">
        <v>0</v>
      </c>
      <c r="R20" s="1618"/>
      <c r="S20" s="667">
        <v>0</v>
      </c>
      <c r="T20" s="667">
        <v>0</v>
      </c>
      <c r="U20" s="668">
        <v>0</v>
      </c>
      <c r="W20" s="30">
        <f>W19-W18</f>
        <v>2151124299</v>
      </c>
    </row>
    <row r="21" spans="1:23" ht="36" customHeight="1">
      <c r="A21" s="2"/>
      <c r="B21" s="2"/>
      <c r="C21" s="662" t="s">
        <v>179</v>
      </c>
      <c r="D21" s="663" t="s">
        <v>147</v>
      </c>
      <c r="E21" s="664" t="s">
        <v>148</v>
      </c>
      <c r="F21" s="663" t="s">
        <v>213</v>
      </c>
      <c r="G21" s="1617" t="s">
        <v>711</v>
      </c>
      <c r="H21" s="1617"/>
      <c r="I21" s="665" t="s">
        <v>83</v>
      </c>
      <c r="J21" s="666">
        <v>269</v>
      </c>
      <c r="K21" s="667">
        <f t="shared" si="0"/>
        <v>19248253</v>
      </c>
      <c r="L21" s="667">
        <v>0</v>
      </c>
      <c r="M21" s="667">
        <v>19248253</v>
      </c>
      <c r="N21" s="667">
        <v>0</v>
      </c>
      <c r="O21" s="667">
        <v>0</v>
      </c>
      <c r="P21" s="667">
        <v>0</v>
      </c>
      <c r="Q21" s="1618">
        <v>0</v>
      </c>
      <c r="R21" s="1618"/>
      <c r="S21" s="667">
        <v>0</v>
      </c>
      <c r="T21" s="667">
        <v>0</v>
      </c>
      <c r="U21" s="668">
        <v>0</v>
      </c>
    </row>
    <row r="22" spans="1:23" ht="36" customHeight="1">
      <c r="A22" s="2"/>
      <c r="B22" s="2"/>
      <c r="C22" s="662" t="s">
        <v>179</v>
      </c>
      <c r="D22" s="663" t="s">
        <v>147</v>
      </c>
      <c r="E22" s="664" t="s">
        <v>148</v>
      </c>
      <c r="F22" s="663" t="s">
        <v>214</v>
      </c>
      <c r="G22" s="1617" t="s">
        <v>557</v>
      </c>
      <c r="H22" s="1617"/>
      <c r="I22" s="665" t="s">
        <v>81</v>
      </c>
      <c r="J22" s="666">
        <v>1000</v>
      </c>
      <c r="K22" s="667">
        <f t="shared" si="0"/>
        <v>50000000</v>
      </c>
      <c r="L22" s="667">
        <v>0</v>
      </c>
      <c r="M22" s="667">
        <v>50000000</v>
      </c>
      <c r="N22" s="667">
        <v>0</v>
      </c>
      <c r="O22" s="667">
        <v>0</v>
      </c>
      <c r="P22" s="667">
        <v>0</v>
      </c>
      <c r="Q22" s="1618">
        <v>0</v>
      </c>
      <c r="R22" s="1618"/>
      <c r="S22" s="667">
        <v>0</v>
      </c>
      <c r="T22" s="667">
        <v>0</v>
      </c>
      <c r="U22" s="668">
        <v>0</v>
      </c>
    </row>
    <row r="23" spans="1:23" ht="36" customHeight="1">
      <c r="A23" s="2"/>
      <c r="B23" s="2"/>
      <c r="C23" s="662" t="s">
        <v>179</v>
      </c>
      <c r="D23" s="663" t="s">
        <v>147</v>
      </c>
      <c r="E23" s="664" t="s">
        <v>148</v>
      </c>
      <c r="F23" s="663" t="s">
        <v>214</v>
      </c>
      <c r="G23" s="1617" t="s">
        <v>557</v>
      </c>
      <c r="H23" s="1617"/>
      <c r="I23" s="665" t="s">
        <v>82</v>
      </c>
      <c r="J23" s="666">
        <v>1000</v>
      </c>
      <c r="K23" s="667">
        <f t="shared" si="0"/>
        <v>50000000</v>
      </c>
      <c r="L23" s="667">
        <v>0</v>
      </c>
      <c r="M23" s="667">
        <v>50000000</v>
      </c>
      <c r="N23" s="667">
        <v>0</v>
      </c>
      <c r="O23" s="667">
        <v>0</v>
      </c>
      <c r="P23" s="667">
        <v>0</v>
      </c>
      <c r="Q23" s="1618">
        <v>0</v>
      </c>
      <c r="R23" s="1618"/>
      <c r="S23" s="667">
        <v>0</v>
      </c>
      <c r="T23" s="667">
        <v>0</v>
      </c>
      <c r="U23" s="668">
        <v>0</v>
      </c>
    </row>
    <row r="24" spans="1:23" ht="36" customHeight="1">
      <c r="A24" s="2"/>
      <c r="B24" s="2"/>
      <c r="C24" s="662" t="s">
        <v>179</v>
      </c>
      <c r="D24" s="663" t="s">
        <v>147</v>
      </c>
      <c r="E24" s="664" t="s">
        <v>148</v>
      </c>
      <c r="F24" s="663" t="s">
        <v>214</v>
      </c>
      <c r="G24" s="1617" t="s">
        <v>557</v>
      </c>
      <c r="H24" s="1617"/>
      <c r="I24" s="665" t="s">
        <v>83</v>
      </c>
      <c r="J24" s="666">
        <v>0</v>
      </c>
      <c r="K24" s="667">
        <f>L24+M24+N24+O24+P24+Q24+S24+T24+U24</f>
        <v>0</v>
      </c>
      <c r="L24" s="667">
        <v>0</v>
      </c>
      <c r="M24" s="667">
        <v>0</v>
      </c>
      <c r="N24" s="667">
        <v>0</v>
      </c>
      <c r="O24" s="667">
        <v>0</v>
      </c>
      <c r="P24" s="667">
        <v>0</v>
      </c>
      <c r="Q24" s="1618">
        <v>0</v>
      </c>
      <c r="R24" s="1618"/>
      <c r="S24" s="667">
        <v>0</v>
      </c>
      <c r="T24" s="667">
        <v>0</v>
      </c>
      <c r="U24" s="668">
        <v>0</v>
      </c>
    </row>
    <row r="25" spans="1:23" ht="36" customHeight="1">
      <c r="A25" s="2"/>
      <c r="B25" s="2"/>
      <c r="C25" s="662" t="s">
        <v>179</v>
      </c>
      <c r="D25" s="663" t="s">
        <v>147</v>
      </c>
      <c r="E25" s="664" t="s">
        <v>148</v>
      </c>
      <c r="F25" s="669" t="s">
        <v>218</v>
      </c>
      <c r="G25" s="1617" t="s">
        <v>234</v>
      </c>
      <c r="H25" s="1617"/>
      <c r="I25" s="665" t="s">
        <v>81</v>
      </c>
      <c r="J25" s="666">
        <v>9</v>
      </c>
      <c r="K25" s="667">
        <f t="shared" si="0"/>
        <v>404120000</v>
      </c>
      <c r="L25" s="667">
        <v>0</v>
      </c>
      <c r="M25" s="667">
        <v>404120000</v>
      </c>
      <c r="N25" s="667">
        <v>0</v>
      </c>
      <c r="O25" s="667">
        <v>0</v>
      </c>
      <c r="P25" s="667">
        <v>0</v>
      </c>
      <c r="Q25" s="1618">
        <v>0</v>
      </c>
      <c r="R25" s="1618"/>
      <c r="S25" s="667">
        <v>0</v>
      </c>
      <c r="T25" s="667">
        <v>0</v>
      </c>
      <c r="U25" s="668">
        <v>0</v>
      </c>
    </row>
    <row r="26" spans="1:23" ht="36" customHeight="1">
      <c r="A26" s="2"/>
      <c r="B26" s="2"/>
      <c r="C26" s="662" t="s">
        <v>179</v>
      </c>
      <c r="D26" s="663" t="s">
        <v>147</v>
      </c>
      <c r="E26" s="664" t="s">
        <v>148</v>
      </c>
      <c r="F26" s="669" t="s">
        <v>218</v>
      </c>
      <c r="G26" s="1617" t="s">
        <v>234</v>
      </c>
      <c r="H26" s="1617"/>
      <c r="I26" s="665" t="s">
        <v>82</v>
      </c>
      <c r="J26" s="666">
        <v>9</v>
      </c>
      <c r="K26" s="667">
        <f t="shared" si="0"/>
        <v>404120000</v>
      </c>
      <c r="L26" s="667">
        <v>0</v>
      </c>
      <c r="M26" s="667">
        <v>404120000</v>
      </c>
      <c r="N26" s="667">
        <v>0</v>
      </c>
      <c r="O26" s="667">
        <v>0</v>
      </c>
      <c r="P26" s="667">
        <v>0</v>
      </c>
      <c r="Q26" s="1618">
        <v>0</v>
      </c>
      <c r="R26" s="1618"/>
      <c r="S26" s="667">
        <v>0</v>
      </c>
      <c r="T26" s="667">
        <v>0</v>
      </c>
      <c r="U26" s="668">
        <v>0</v>
      </c>
    </row>
    <row r="27" spans="1:23" ht="36" customHeight="1">
      <c r="A27" s="2"/>
      <c r="B27" s="2"/>
      <c r="C27" s="662" t="s">
        <v>179</v>
      </c>
      <c r="D27" s="663" t="s">
        <v>147</v>
      </c>
      <c r="E27" s="664" t="s">
        <v>148</v>
      </c>
      <c r="F27" s="669" t="s">
        <v>218</v>
      </c>
      <c r="G27" s="1617" t="s">
        <v>234</v>
      </c>
      <c r="H27" s="1617"/>
      <c r="I27" s="665" t="s">
        <v>83</v>
      </c>
      <c r="J27" s="666">
        <v>0</v>
      </c>
      <c r="K27" s="667">
        <f t="shared" si="0"/>
        <v>0</v>
      </c>
      <c r="L27" s="667">
        <v>0</v>
      </c>
      <c r="M27" s="667">
        <v>0</v>
      </c>
      <c r="N27" s="667">
        <v>0</v>
      </c>
      <c r="O27" s="667">
        <v>0</v>
      </c>
      <c r="P27" s="667">
        <v>0</v>
      </c>
      <c r="Q27" s="1618">
        <v>0</v>
      </c>
      <c r="R27" s="1618"/>
      <c r="S27" s="667">
        <v>0</v>
      </c>
      <c r="T27" s="667">
        <v>0</v>
      </c>
      <c r="U27" s="668">
        <v>0</v>
      </c>
    </row>
    <row r="28" spans="1:23" ht="36" customHeight="1">
      <c r="A28" s="2"/>
      <c r="B28" s="2"/>
      <c r="C28" s="662" t="s">
        <v>179</v>
      </c>
      <c r="D28" s="663" t="s">
        <v>147</v>
      </c>
      <c r="E28" s="664" t="s">
        <v>148</v>
      </c>
      <c r="F28" s="663" t="s">
        <v>217</v>
      </c>
      <c r="G28" s="1617" t="s">
        <v>236</v>
      </c>
      <c r="H28" s="1617"/>
      <c r="I28" s="665" t="s">
        <v>81</v>
      </c>
      <c r="J28" s="666">
        <v>500</v>
      </c>
      <c r="K28" s="667">
        <f t="shared" si="0"/>
        <v>30000000</v>
      </c>
      <c r="L28" s="667">
        <v>0</v>
      </c>
      <c r="M28" s="667">
        <v>30000000</v>
      </c>
      <c r="N28" s="667">
        <v>0</v>
      </c>
      <c r="O28" s="667">
        <v>0</v>
      </c>
      <c r="P28" s="667">
        <v>0</v>
      </c>
      <c r="Q28" s="1618">
        <v>0</v>
      </c>
      <c r="R28" s="1618"/>
      <c r="S28" s="667">
        <v>0</v>
      </c>
      <c r="T28" s="667">
        <v>0</v>
      </c>
      <c r="U28" s="668">
        <v>0</v>
      </c>
    </row>
    <row r="29" spans="1:23" ht="36" customHeight="1">
      <c r="A29" s="2"/>
      <c r="B29" s="2"/>
      <c r="C29" s="662" t="s">
        <v>179</v>
      </c>
      <c r="D29" s="663" t="s">
        <v>147</v>
      </c>
      <c r="E29" s="664" t="s">
        <v>148</v>
      </c>
      <c r="F29" s="663" t="s">
        <v>217</v>
      </c>
      <c r="G29" s="1617" t="s">
        <v>236</v>
      </c>
      <c r="H29" s="1617"/>
      <c r="I29" s="665" t="s">
        <v>82</v>
      </c>
      <c r="J29" s="666">
        <v>500</v>
      </c>
      <c r="K29" s="667">
        <f t="shared" si="0"/>
        <v>30000000</v>
      </c>
      <c r="L29" s="667">
        <v>0</v>
      </c>
      <c r="M29" s="667">
        <v>30000000</v>
      </c>
      <c r="N29" s="667">
        <v>0</v>
      </c>
      <c r="O29" s="667">
        <v>0</v>
      </c>
      <c r="P29" s="667">
        <v>0</v>
      </c>
      <c r="Q29" s="1618">
        <v>0</v>
      </c>
      <c r="R29" s="1618"/>
      <c r="S29" s="667">
        <v>0</v>
      </c>
      <c r="T29" s="667">
        <v>0</v>
      </c>
      <c r="U29" s="668">
        <v>0</v>
      </c>
    </row>
    <row r="30" spans="1:23" ht="36" customHeight="1">
      <c r="A30" s="2"/>
      <c r="B30" s="2"/>
      <c r="C30" s="662" t="s">
        <v>179</v>
      </c>
      <c r="D30" s="663" t="s">
        <v>147</v>
      </c>
      <c r="E30" s="664" t="s">
        <v>148</v>
      </c>
      <c r="F30" s="663" t="s">
        <v>217</v>
      </c>
      <c r="G30" s="1617" t="s">
        <v>236</v>
      </c>
      <c r="H30" s="1617"/>
      <c r="I30" s="665" t="s">
        <v>83</v>
      </c>
      <c r="J30" s="666">
        <v>0</v>
      </c>
      <c r="K30" s="667">
        <f t="shared" si="0"/>
        <v>0</v>
      </c>
      <c r="L30" s="667">
        <v>0</v>
      </c>
      <c r="M30" s="667">
        <v>0</v>
      </c>
      <c r="N30" s="667">
        <v>0</v>
      </c>
      <c r="O30" s="667">
        <v>0</v>
      </c>
      <c r="P30" s="667">
        <v>0</v>
      </c>
      <c r="Q30" s="1618">
        <v>0</v>
      </c>
      <c r="R30" s="1618"/>
      <c r="S30" s="667">
        <v>0</v>
      </c>
      <c r="T30" s="667">
        <v>0</v>
      </c>
      <c r="U30" s="668">
        <v>0</v>
      </c>
    </row>
    <row r="31" spans="1:23" ht="36" customHeight="1">
      <c r="A31" s="2"/>
      <c r="B31" s="2"/>
      <c r="C31" s="662" t="s">
        <v>179</v>
      </c>
      <c r="D31" s="663" t="s">
        <v>147</v>
      </c>
      <c r="E31" s="664" t="s">
        <v>148</v>
      </c>
      <c r="F31" s="669" t="s">
        <v>684</v>
      </c>
      <c r="G31" s="1617" t="s">
        <v>685</v>
      </c>
      <c r="H31" s="1617"/>
      <c r="I31" s="665" t="s">
        <v>81</v>
      </c>
      <c r="J31" s="666">
        <v>600</v>
      </c>
      <c r="K31" s="667">
        <f t="shared" si="0"/>
        <v>36000000</v>
      </c>
      <c r="L31" s="667">
        <v>0</v>
      </c>
      <c r="M31" s="667">
        <v>36000000</v>
      </c>
      <c r="N31" s="667">
        <v>0</v>
      </c>
      <c r="O31" s="667">
        <v>0</v>
      </c>
      <c r="P31" s="667">
        <v>0</v>
      </c>
      <c r="Q31" s="1618">
        <v>0</v>
      </c>
      <c r="R31" s="1618"/>
      <c r="S31" s="667">
        <v>0</v>
      </c>
      <c r="T31" s="667">
        <v>0</v>
      </c>
      <c r="U31" s="668">
        <v>0</v>
      </c>
    </row>
    <row r="32" spans="1:23" ht="36" customHeight="1">
      <c r="A32" s="2"/>
      <c r="B32" s="2"/>
      <c r="C32" s="662" t="s">
        <v>179</v>
      </c>
      <c r="D32" s="663" t="s">
        <v>147</v>
      </c>
      <c r="E32" s="664" t="s">
        <v>148</v>
      </c>
      <c r="F32" s="669" t="s">
        <v>684</v>
      </c>
      <c r="G32" s="1617" t="s">
        <v>685</v>
      </c>
      <c r="H32" s="1617"/>
      <c r="I32" s="665" t="s">
        <v>82</v>
      </c>
      <c r="J32" s="666">
        <v>600</v>
      </c>
      <c r="K32" s="667">
        <f t="shared" si="0"/>
        <v>36000000</v>
      </c>
      <c r="L32" s="667"/>
      <c r="M32" s="667">
        <v>36000000</v>
      </c>
      <c r="N32" s="667"/>
      <c r="O32" s="667"/>
      <c r="P32" s="667"/>
      <c r="Q32" s="1627"/>
      <c r="R32" s="1628"/>
      <c r="S32" s="667"/>
      <c r="T32" s="667"/>
      <c r="U32" s="668"/>
    </row>
    <row r="33" spans="1:21" ht="36" customHeight="1">
      <c r="A33" s="2"/>
      <c r="B33" s="2"/>
      <c r="C33" s="662" t="s">
        <v>179</v>
      </c>
      <c r="D33" s="663" t="s">
        <v>147</v>
      </c>
      <c r="E33" s="664" t="s">
        <v>148</v>
      </c>
      <c r="F33" s="669" t="s">
        <v>684</v>
      </c>
      <c r="G33" s="1617" t="s">
        <v>685</v>
      </c>
      <c r="H33" s="1617"/>
      <c r="I33" s="665" t="s">
        <v>83</v>
      </c>
      <c r="J33" s="666">
        <v>0</v>
      </c>
      <c r="K33" s="667">
        <f t="shared" si="0"/>
        <v>0</v>
      </c>
      <c r="L33" s="667"/>
      <c r="M33" s="667">
        <v>0</v>
      </c>
      <c r="N33" s="667"/>
      <c r="O33" s="667"/>
      <c r="P33" s="667"/>
      <c r="Q33" s="1627"/>
      <c r="R33" s="1628"/>
      <c r="S33" s="667"/>
      <c r="T33" s="667"/>
      <c r="U33" s="668"/>
    </row>
    <row r="34" spans="1:21" ht="36" customHeight="1">
      <c r="A34" s="2"/>
      <c r="B34" s="2"/>
      <c r="C34" s="662" t="s">
        <v>179</v>
      </c>
      <c r="D34" s="663" t="s">
        <v>147</v>
      </c>
      <c r="E34" s="664" t="s">
        <v>148</v>
      </c>
      <c r="F34" s="669" t="s">
        <v>686</v>
      </c>
      <c r="G34" s="670" t="s">
        <v>687</v>
      </c>
      <c r="H34" s="664"/>
      <c r="I34" s="665" t="s">
        <v>81</v>
      </c>
      <c r="J34" s="666">
        <v>830</v>
      </c>
      <c r="K34" s="667">
        <f t="shared" si="0"/>
        <v>58000000</v>
      </c>
      <c r="L34" s="667"/>
      <c r="M34" s="667">
        <v>58000000</v>
      </c>
      <c r="N34" s="667"/>
      <c r="O34" s="667"/>
      <c r="P34" s="667"/>
      <c r="Q34" s="1627"/>
      <c r="R34" s="1628"/>
      <c r="S34" s="667"/>
      <c r="T34" s="667"/>
      <c r="U34" s="668"/>
    </row>
    <row r="35" spans="1:21" ht="36" customHeight="1">
      <c r="A35" s="2"/>
      <c r="B35" s="2"/>
      <c r="C35" s="662" t="s">
        <v>179</v>
      </c>
      <c r="D35" s="663" t="s">
        <v>147</v>
      </c>
      <c r="E35" s="664" t="s">
        <v>148</v>
      </c>
      <c r="F35" s="669" t="s">
        <v>686</v>
      </c>
      <c r="G35" s="670" t="s">
        <v>687</v>
      </c>
      <c r="H35" s="664"/>
      <c r="I35" s="665" t="s">
        <v>82</v>
      </c>
      <c r="J35" s="666">
        <v>830</v>
      </c>
      <c r="K35" s="667">
        <f t="shared" si="0"/>
        <v>58000000</v>
      </c>
      <c r="L35" s="667"/>
      <c r="M35" s="667">
        <v>58000000</v>
      </c>
      <c r="N35" s="667"/>
      <c r="O35" s="667"/>
      <c r="P35" s="667"/>
      <c r="Q35" s="1627"/>
      <c r="R35" s="1628"/>
      <c r="S35" s="667"/>
      <c r="T35" s="667"/>
      <c r="U35" s="668"/>
    </row>
    <row r="36" spans="1:21" ht="36" customHeight="1">
      <c r="A36" s="2"/>
      <c r="B36" s="2"/>
      <c r="C36" s="662" t="s">
        <v>179</v>
      </c>
      <c r="D36" s="663" t="s">
        <v>147</v>
      </c>
      <c r="E36" s="664" t="s">
        <v>148</v>
      </c>
      <c r="F36" s="669" t="s">
        <v>686</v>
      </c>
      <c r="G36" s="670" t="s">
        <v>687</v>
      </c>
      <c r="H36" s="664"/>
      <c r="I36" s="665" t="s">
        <v>83</v>
      </c>
      <c r="J36" s="666">
        <v>0</v>
      </c>
      <c r="K36" s="667">
        <f t="shared" si="0"/>
        <v>0</v>
      </c>
      <c r="L36" s="667"/>
      <c r="M36" s="667">
        <v>0</v>
      </c>
      <c r="N36" s="667"/>
      <c r="O36" s="667"/>
      <c r="P36" s="667"/>
      <c r="Q36" s="1627"/>
      <c r="R36" s="1628"/>
      <c r="S36" s="667"/>
      <c r="T36" s="667"/>
      <c r="U36" s="668"/>
    </row>
    <row r="37" spans="1:21" ht="36" customHeight="1">
      <c r="A37" s="2"/>
      <c r="B37" s="2"/>
      <c r="C37" s="662" t="s">
        <v>179</v>
      </c>
      <c r="D37" s="663" t="s">
        <v>147</v>
      </c>
      <c r="E37" s="664" t="s">
        <v>148</v>
      </c>
      <c r="F37" s="669" t="s">
        <v>688</v>
      </c>
      <c r="G37" s="670" t="s">
        <v>689</v>
      </c>
      <c r="H37" s="664"/>
      <c r="I37" s="665" t="s">
        <v>81</v>
      </c>
      <c r="J37" s="666">
        <v>250</v>
      </c>
      <c r="K37" s="667">
        <f t="shared" si="0"/>
        <v>14000000</v>
      </c>
      <c r="L37" s="667"/>
      <c r="M37" s="667">
        <v>14000000</v>
      </c>
      <c r="N37" s="667"/>
      <c r="O37" s="667"/>
      <c r="P37" s="667"/>
      <c r="Q37" s="1627"/>
      <c r="R37" s="1628"/>
      <c r="S37" s="667"/>
      <c r="T37" s="667"/>
      <c r="U37" s="668"/>
    </row>
    <row r="38" spans="1:21" ht="36" customHeight="1">
      <c r="A38" s="2"/>
      <c r="B38" s="2"/>
      <c r="C38" s="662" t="s">
        <v>179</v>
      </c>
      <c r="D38" s="663" t="s">
        <v>147</v>
      </c>
      <c r="E38" s="664" t="s">
        <v>148</v>
      </c>
      <c r="F38" s="669" t="s">
        <v>688</v>
      </c>
      <c r="G38" s="670" t="s">
        <v>689</v>
      </c>
      <c r="H38" s="664"/>
      <c r="I38" s="665" t="s">
        <v>82</v>
      </c>
      <c r="J38" s="666">
        <v>250</v>
      </c>
      <c r="K38" s="667">
        <f t="shared" si="0"/>
        <v>14000000</v>
      </c>
      <c r="L38" s="667"/>
      <c r="M38" s="667">
        <v>14000000</v>
      </c>
      <c r="N38" s="667"/>
      <c r="O38" s="667"/>
      <c r="P38" s="667"/>
      <c r="Q38" s="1627"/>
      <c r="R38" s="1628"/>
      <c r="S38" s="667"/>
      <c r="T38" s="667"/>
      <c r="U38" s="668"/>
    </row>
    <row r="39" spans="1:21" ht="36" customHeight="1">
      <c r="A39" s="2"/>
      <c r="B39" s="2"/>
      <c r="C39" s="662" t="s">
        <v>179</v>
      </c>
      <c r="D39" s="663" t="s">
        <v>147</v>
      </c>
      <c r="E39" s="664" t="s">
        <v>148</v>
      </c>
      <c r="F39" s="669" t="s">
        <v>688</v>
      </c>
      <c r="G39" s="670" t="s">
        <v>689</v>
      </c>
      <c r="H39" s="664"/>
      <c r="I39" s="665" t="s">
        <v>83</v>
      </c>
      <c r="J39" s="666">
        <v>0</v>
      </c>
      <c r="K39" s="667">
        <f t="shared" si="0"/>
        <v>0</v>
      </c>
      <c r="L39" s="667"/>
      <c r="M39" s="667"/>
      <c r="N39" s="667"/>
      <c r="O39" s="667"/>
      <c r="P39" s="667"/>
      <c r="Q39" s="1627"/>
      <c r="R39" s="1628"/>
      <c r="S39" s="667"/>
      <c r="T39" s="667"/>
      <c r="U39" s="668"/>
    </row>
    <row r="40" spans="1:21" ht="36" customHeight="1">
      <c r="A40" s="2"/>
      <c r="B40" s="2"/>
      <c r="C40" s="662" t="s">
        <v>179</v>
      </c>
      <c r="D40" s="663" t="s">
        <v>147</v>
      </c>
      <c r="E40" s="664" t="s">
        <v>148</v>
      </c>
      <c r="F40" s="671" t="s">
        <v>212</v>
      </c>
      <c r="G40" s="1617" t="s">
        <v>712</v>
      </c>
      <c r="H40" s="1617"/>
      <c r="I40" s="665" t="s">
        <v>81</v>
      </c>
      <c r="J40" s="666">
        <v>12</v>
      </c>
      <c r="K40" s="667">
        <f t="shared" si="0"/>
        <v>3434887024</v>
      </c>
      <c r="L40" s="667"/>
      <c r="M40" s="667">
        <v>3434887024</v>
      </c>
      <c r="N40" s="667"/>
      <c r="O40" s="667"/>
      <c r="P40" s="667"/>
      <c r="Q40" s="1627"/>
      <c r="R40" s="1628"/>
      <c r="S40" s="667"/>
      <c r="T40" s="667"/>
      <c r="U40" s="668"/>
    </row>
    <row r="41" spans="1:21" ht="36" customHeight="1">
      <c r="A41" s="2"/>
      <c r="B41" s="2"/>
      <c r="C41" s="662" t="s">
        <v>179</v>
      </c>
      <c r="D41" s="663" t="s">
        <v>147</v>
      </c>
      <c r="E41" s="664" t="s">
        <v>148</v>
      </c>
      <c r="F41" s="671" t="s">
        <v>212</v>
      </c>
      <c r="G41" s="1617" t="s">
        <v>712</v>
      </c>
      <c r="H41" s="1617"/>
      <c r="I41" s="665" t="s">
        <v>82</v>
      </c>
      <c r="J41" s="666">
        <v>12</v>
      </c>
      <c r="K41" s="667">
        <f t="shared" si="0"/>
        <v>3434887024</v>
      </c>
      <c r="L41" s="667"/>
      <c r="M41" s="667">
        <v>3434887024</v>
      </c>
      <c r="N41" s="667"/>
      <c r="O41" s="667"/>
      <c r="P41" s="667"/>
      <c r="Q41" s="1627"/>
      <c r="R41" s="1628"/>
      <c r="S41" s="667"/>
      <c r="T41" s="667"/>
      <c r="U41" s="668"/>
    </row>
    <row r="42" spans="1:21" ht="36" customHeight="1">
      <c r="A42" s="2"/>
      <c r="B42" s="2"/>
      <c r="C42" s="662" t="s">
        <v>179</v>
      </c>
      <c r="D42" s="663" t="s">
        <v>147</v>
      </c>
      <c r="E42" s="664" t="s">
        <v>148</v>
      </c>
      <c r="F42" s="671" t="s">
        <v>212</v>
      </c>
      <c r="G42" s="1617" t="s">
        <v>712</v>
      </c>
      <c r="H42" s="1617"/>
      <c r="I42" s="665" t="s">
        <v>83</v>
      </c>
      <c r="J42" s="666">
        <v>6</v>
      </c>
      <c r="K42" s="667">
        <f t="shared" si="0"/>
        <v>1675669493</v>
      </c>
      <c r="L42" s="667"/>
      <c r="M42" s="667">
        <v>1675669493</v>
      </c>
      <c r="N42" s="667"/>
      <c r="O42" s="667"/>
      <c r="P42" s="667"/>
      <c r="Q42" s="1627"/>
      <c r="R42" s="1628"/>
      <c r="S42" s="667"/>
      <c r="T42" s="667"/>
      <c r="U42" s="668"/>
    </row>
    <row r="43" spans="1:21" ht="36" customHeight="1">
      <c r="A43" s="2"/>
      <c r="B43" s="2"/>
      <c r="C43" s="662" t="s">
        <v>179</v>
      </c>
      <c r="D43" s="663" t="s">
        <v>147</v>
      </c>
      <c r="E43" s="664" t="s">
        <v>148</v>
      </c>
      <c r="F43" s="671" t="s">
        <v>177</v>
      </c>
      <c r="G43" s="670" t="s">
        <v>713</v>
      </c>
      <c r="H43" s="664"/>
      <c r="I43" s="665" t="s">
        <v>81</v>
      </c>
      <c r="J43" s="666">
        <v>1500</v>
      </c>
      <c r="K43" s="667">
        <f t="shared" si="0"/>
        <v>60000000</v>
      </c>
      <c r="L43" s="667"/>
      <c r="M43" s="667">
        <v>60000000</v>
      </c>
      <c r="N43" s="667"/>
      <c r="O43" s="667"/>
      <c r="P43" s="667"/>
      <c r="Q43" s="1627"/>
      <c r="R43" s="1628"/>
      <c r="S43" s="667"/>
      <c r="T43" s="667"/>
      <c r="U43" s="668"/>
    </row>
    <row r="44" spans="1:21" ht="36" customHeight="1">
      <c r="A44" s="2"/>
      <c r="B44" s="2"/>
      <c r="C44" s="662" t="s">
        <v>179</v>
      </c>
      <c r="D44" s="663" t="s">
        <v>147</v>
      </c>
      <c r="E44" s="664" t="s">
        <v>148</v>
      </c>
      <c r="F44" s="671" t="s">
        <v>177</v>
      </c>
      <c r="G44" s="670" t="s">
        <v>713</v>
      </c>
      <c r="H44" s="664"/>
      <c r="I44" s="665" t="s">
        <v>82</v>
      </c>
      <c r="J44" s="666">
        <v>1500</v>
      </c>
      <c r="K44" s="667">
        <f t="shared" si="0"/>
        <v>60000000</v>
      </c>
      <c r="L44" s="667"/>
      <c r="M44" s="667">
        <v>60000000</v>
      </c>
      <c r="N44" s="667"/>
      <c r="O44" s="667"/>
      <c r="P44" s="667"/>
      <c r="Q44" s="1627"/>
      <c r="R44" s="1628"/>
      <c r="S44" s="667"/>
      <c r="T44" s="667"/>
      <c r="U44" s="668"/>
    </row>
    <row r="45" spans="1:21" ht="36" customHeight="1">
      <c r="A45" s="2"/>
      <c r="B45" s="2"/>
      <c r="C45" s="662" t="s">
        <v>179</v>
      </c>
      <c r="D45" s="663" t="s">
        <v>147</v>
      </c>
      <c r="E45" s="664" t="s">
        <v>148</v>
      </c>
      <c r="F45" s="671" t="s">
        <v>177</v>
      </c>
      <c r="G45" s="670" t="s">
        <v>713</v>
      </c>
      <c r="H45" s="664"/>
      <c r="I45" s="665" t="s">
        <v>83</v>
      </c>
      <c r="J45" s="666">
        <v>0</v>
      </c>
      <c r="K45" s="667">
        <f t="shared" si="0"/>
        <v>0</v>
      </c>
      <c r="L45" s="667"/>
      <c r="M45" s="667">
        <v>0</v>
      </c>
      <c r="N45" s="667"/>
      <c r="O45" s="667"/>
      <c r="P45" s="667"/>
      <c r="Q45" s="1627"/>
      <c r="R45" s="1628"/>
      <c r="S45" s="667"/>
      <c r="T45" s="667"/>
      <c r="U45" s="668"/>
    </row>
    <row r="46" spans="1:21" ht="36" customHeight="1">
      <c r="A46" s="2"/>
      <c r="B46" s="2"/>
      <c r="C46" s="662" t="s">
        <v>179</v>
      </c>
      <c r="D46" s="663" t="s">
        <v>147</v>
      </c>
      <c r="E46" s="664" t="s">
        <v>148</v>
      </c>
      <c r="F46" s="669" t="s">
        <v>226</v>
      </c>
      <c r="G46" s="1617" t="s">
        <v>227</v>
      </c>
      <c r="H46" s="1617"/>
      <c r="I46" s="665" t="s">
        <v>81</v>
      </c>
      <c r="J46" s="666">
        <v>1000</v>
      </c>
      <c r="K46" s="667">
        <f t="shared" si="0"/>
        <v>20000000</v>
      </c>
      <c r="L46" s="667">
        <v>0</v>
      </c>
      <c r="M46" s="667">
        <v>20000000</v>
      </c>
      <c r="N46" s="667">
        <v>0</v>
      </c>
      <c r="O46" s="667">
        <v>0</v>
      </c>
      <c r="P46" s="667">
        <v>0</v>
      </c>
      <c r="Q46" s="1618">
        <v>0</v>
      </c>
      <c r="R46" s="1618"/>
      <c r="S46" s="667">
        <v>0</v>
      </c>
      <c r="T46" s="667">
        <v>0</v>
      </c>
      <c r="U46" s="668">
        <v>0</v>
      </c>
    </row>
    <row r="47" spans="1:21" ht="36" customHeight="1">
      <c r="A47" s="2"/>
      <c r="B47" s="2"/>
      <c r="C47" s="662" t="s">
        <v>179</v>
      </c>
      <c r="D47" s="663" t="s">
        <v>147</v>
      </c>
      <c r="E47" s="664" t="s">
        <v>148</v>
      </c>
      <c r="F47" s="669" t="s">
        <v>226</v>
      </c>
      <c r="G47" s="1617" t="s">
        <v>227</v>
      </c>
      <c r="H47" s="1617"/>
      <c r="I47" s="665" t="s">
        <v>82</v>
      </c>
      <c r="J47" s="666">
        <v>1000</v>
      </c>
      <c r="K47" s="667">
        <f t="shared" si="0"/>
        <v>20000000</v>
      </c>
      <c r="L47" s="667">
        <v>0</v>
      </c>
      <c r="M47" s="667">
        <v>20000000</v>
      </c>
      <c r="N47" s="667">
        <v>0</v>
      </c>
      <c r="O47" s="667">
        <v>0</v>
      </c>
      <c r="P47" s="667">
        <v>0</v>
      </c>
      <c r="Q47" s="1618">
        <v>0</v>
      </c>
      <c r="R47" s="1618"/>
      <c r="S47" s="667">
        <v>0</v>
      </c>
      <c r="T47" s="667">
        <v>0</v>
      </c>
      <c r="U47" s="668">
        <v>0</v>
      </c>
    </row>
    <row r="48" spans="1:21" ht="36" customHeight="1">
      <c r="A48" s="2"/>
      <c r="B48" s="2"/>
      <c r="C48" s="662" t="s">
        <v>179</v>
      </c>
      <c r="D48" s="663" t="s">
        <v>147</v>
      </c>
      <c r="E48" s="664" t="s">
        <v>148</v>
      </c>
      <c r="F48" s="669" t="s">
        <v>226</v>
      </c>
      <c r="G48" s="1617" t="s">
        <v>227</v>
      </c>
      <c r="H48" s="1617"/>
      <c r="I48" s="665" t="s">
        <v>83</v>
      </c>
      <c r="J48" s="666">
        <v>0</v>
      </c>
      <c r="K48" s="667">
        <f t="shared" si="0"/>
        <v>0</v>
      </c>
      <c r="L48" s="667">
        <v>0</v>
      </c>
      <c r="M48" s="667">
        <v>0</v>
      </c>
      <c r="N48" s="667">
        <v>0</v>
      </c>
      <c r="O48" s="667">
        <v>0</v>
      </c>
      <c r="P48" s="667">
        <v>0</v>
      </c>
      <c r="Q48" s="1618">
        <v>0</v>
      </c>
      <c r="R48" s="1618"/>
      <c r="S48" s="667">
        <v>0</v>
      </c>
      <c r="T48" s="667">
        <v>0</v>
      </c>
      <c r="U48" s="668">
        <v>0</v>
      </c>
    </row>
    <row r="49" spans="1:21" ht="36" customHeight="1">
      <c r="A49" s="2"/>
      <c r="B49" s="2"/>
      <c r="C49" s="662" t="s">
        <v>179</v>
      </c>
      <c r="D49" s="663" t="s">
        <v>147</v>
      </c>
      <c r="E49" s="664" t="s">
        <v>148</v>
      </c>
      <c r="F49" s="669" t="s">
        <v>225</v>
      </c>
      <c r="G49" s="1617" t="s">
        <v>238</v>
      </c>
      <c r="H49" s="1617"/>
      <c r="I49" s="665" t="s">
        <v>81</v>
      </c>
      <c r="J49" s="666">
        <v>1</v>
      </c>
      <c r="K49" s="667">
        <f t="shared" si="0"/>
        <v>26500000</v>
      </c>
      <c r="L49" s="667">
        <v>0</v>
      </c>
      <c r="M49" s="667">
        <v>26500000</v>
      </c>
      <c r="N49" s="667">
        <v>0</v>
      </c>
      <c r="O49" s="667">
        <v>0</v>
      </c>
      <c r="P49" s="667">
        <v>0</v>
      </c>
      <c r="Q49" s="1618">
        <v>0</v>
      </c>
      <c r="R49" s="1618"/>
      <c r="S49" s="667">
        <v>0</v>
      </c>
      <c r="T49" s="667">
        <v>0</v>
      </c>
      <c r="U49" s="668">
        <v>0</v>
      </c>
    </row>
    <row r="50" spans="1:21" ht="36" customHeight="1">
      <c r="A50" s="2"/>
      <c r="B50" s="2"/>
      <c r="C50" s="662" t="s">
        <v>179</v>
      </c>
      <c r="D50" s="663" t="s">
        <v>147</v>
      </c>
      <c r="E50" s="664" t="s">
        <v>148</v>
      </c>
      <c r="F50" s="669" t="s">
        <v>225</v>
      </c>
      <c r="G50" s="1617" t="s">
        <v>238</v>
      </c>
      <c r="H50" s="1617"/>
      <c r="I50" s="665" t="s">
        <v>82</v>
      </c>
      <c r="J50" s="666">
        <v>1</v>
      </c>
      <c r="K50" s="667">
        <f t="shared" si="0"/>
        <v>26500000</v>
      </c>
      <c r="L50" s="667">
        <v>0</v>
      </c>
      <c r="M50" s="667">
        <v>26500000</v>
      </c>
      <c r="N50" s="667">
        <v>0</v>
      </c>
      <c r="O50" s="667">
        <v>0</v>
      </c>
      <c r="P50" s="667">
        <v>0</v>
      </c>
      <c r="Q50" s="1618">
        <v>0</v>
      </c>
      <c r="R50" s="1618"/>
      <c r="S50" s="667">
        <v>0</v>
      </c>
      <c r="T50" s="667">
        <v>0</v>
      </c>
      <c r="U50" s="668">
        <v>0</v>
      </c>
    </row>
    <row r="51" spans="1:21" ht="36" customHeight="1">
      <c r="A51" s="2"/>
      <c r="B51" s="2"/>
      <c r="C51" s="662" t="s">
        <v>179</v>
      </c>
      <c r="D51" s="663" t="s">
        <v>147</v>
      </c>
      <c r="E51" s="664" t="s">
        <v>148</v>
      </c>
      <c r="F51" s="669" t="s">
        <v>225</v>
      </c>
      <c r="G51" s="1617" t="s">
        <v>238</v>
      </c>
      <c r="H51" s="1617"/>
      <c r="I51" s="665" t="s">
        <v>83</v>
      </c>
      <c r="J51" s="666"/>
      <c r="K51" s="667">
        <f t="shared" si="0"/>
        <v>0</v>
      </c>
      <c r="L51" s="667">
        <v>0</v>
      </c>
      <c r="M51" s="667">
        <v>0</v>
      </c>
      <c r="N51" s="667">
        <v>0</v>
      </c>
      <c r="O51" s="667">
        <v>0</v>
      </c>
      <c r="P51" s="667">
        <v>0</v>
      </c>
      <c r="Q51" s="1618">
        <v>0</v>
      </c>
      <c r="R51" s="1618"/>
      <c r="S51" s="667">
        <v>0</v>
      </c>
      <c r="T51" s="667">
        <v>0</v>
      </c>
      <c r="U51" s="668">
        <v>0</v>
      </c>
    </row>
    <row r="52" spans="1:21" ht="36" customHeight="1">
      <c r="A52" s="2"/>
      <c r="B52" s="2"/>
      <c r="C52" s="662" t="s">
        <v>179</v>
      </c>
      <c r="D52" s="663" t="s">
        <v>147</v>
      </c>
      <c r="E52" s="664" t="s">
        <v>148</v>
      </c>
      <c r="F52" s="669" t="s">
        <v>223</v>
      </c>
      <c r="G52" s="1617" t="s">
        <v>239</v>
      </c>
      <c r="H52" s="1617"/>
      <c r="I52" s="665" t="s">
        <v>81</v>
      </c>
      <c r="J52" s="666">
        <v>1228</v>
      </c>
      <c r="K52" s="667">
        <f t="shared" si="0"/>
        <v>28203600</v>
      </c>
      <c r="L52" s="667">
        <v>0</v>
      </c>
      <c r="M52" s="667">
        <v>28203600</v>
      </c>
      <c r="N52" s="667">
        <v>0</v>
      </c>
      <c r="O52" s="667">
        <v>0</v>
      </c>
      <c r="P52" s="667">
        <v>0</v>
      </c>
      <c r="Q52" s="1618">
        <v>0</v>
      </c>
      <c r="R52" s="1618"/>
      <c r="S52" s="667">
        <v>0</v>
      </c>
      <c r="T52" s="667">
        <v>0</v>
      </c>
      <c r="U52" s="668">
        <v>0</v>
      </c>
    </row>
    <row r="53" spans="1:21" ht="36" customHeight="1">
      <c r="A53" s="2"/>
      <c r="B53" s="2"/>
      <c r="C53" s="662" t="s">
        <v>179</v>
      </c>
      <c r="D53" s="663" t="s">
        <v>147</v>
      </c>
      <c r="E53" s="664" t="s">
        <v>148</v>
      </c>
      <c r="F53" s="669" t="s">
        <v>223</v>
      </c>
      <c r="G53" s="1617" t="s">
        <v>239</v>
      </c>
      <c r="H53" s="1617"/>
      <c r="I53" s="665" t="s">
        <v>82</v>
      </c>
      <c r="J53" s="666">
        <v>1228</v>
      </c>
      <c r="K53" s="667">
        <f t="shared" si="0"/>
        <v>28203600</v>
      </c>
      <c r="L53" s="667">
        <v>0</v>
      </c>
      <c r="M53" s="667">
        <v>28203600</v>
      </c>
      <c r="N53" s="667">
        <v>0</v>
      </c>
      <c r="O53" s="667">
        <v>0</v>
      </c>
      <c r="P53" s="667">
        <v>0</v>
      </c>
      <c r="Q53" s="1618">
        <v>0</v>
      </c>
      <c r="R53" s="1618"/>
      <c r="S53" s="667">
        <v>0</v>
      </c>
      <c r="T53" s="667">
        <v>0</v>
      </c>
      <c r="U53" s="668">
        <v>0</v>
      </c>
    </row>
    <row r="54" spans="1:21" ht="36" customHeight="1">
      <c r="A54" s="2"/>
      <c r="B54" s="2"/>
      <c r="C54" s="662" t="s">
        <v>179</v>
      </c>
      <c r="D54" s="663" t="s">
        <v>147</v>
      </c>
      <c r="E54" s="664" t="s">
        <v>148</v>
      </c>
      <c r="F54" s="669" t="s">
        <v>223</v>
      </c>
      <c r="G54" s="1617" t="s">
        <v>239</v>
      </c>
      <c r="H54" s="1617"/>
      <c r="I54" s="665" t="s">
        <v>83</v>
      </c>
      <c r="J54" s="666">
        <v>0</v>
      </c>
      <c r="K54" s="667">
        <f t="shared" si="0"/>
        <v>0</v>
      </c>
      <c r="L54" s="667">
        <v>0</v>
      </c>
      <c r="M54" s="667">
        <v>0</v>
      </c>
      <c r="N54" s="667">
        <v>0</v>
      </c>
      <c r="O54" s="667">
        <v>0</v>
      </c>
      <c r="P54" s="667">
        <v>0</v>
      </c>
      <c r="Q54" s="1618">
        <v>0</v>
      </c>
      <c r="R54" s="1618"/>
      <c r="S54" s="667">
        <v>0</v>
      </c>
      <c r="T54" s="667">
        <v>0</v>
      </c>
      <c r="U54" s="668">
        <v>0</v>
      </c>
    </row>
    <row r="55" spans="1:21" ht="45.75" customHeight="1">
      <c r="A55" s="2"/>
      <c r="B55" s="2"/>
      <c r="C55" s="662" t="s">
        <v>179</v>
      </c>
      <c r="D55" s="663" t="s">
        <v>147</v>
      </c>
      <c r="E55" s="664" t="s">
        <v>148</v>
      </c>
      <c r="F55" s="669" t="s">
        <v>224</v>
      </c>
      <c r="G55" s="1617" t="s">
        <v>240</v>
      </c>
      <c r="H55" s="1617"/>
      <c r="I55" s="665" t="s">
        <v>81</v>
      </c>
      <c r="J55" s="666">
        <v>1</v>
      </c>
      <c r="K55" s="667">
        <f t="shared" si="0"/>
        <v>222318100</v>
      </c>
      <c r="L55" s="667">
        <v>0</v>
      </c>
      <c r="M55" s="667">
        <v>222318100</v>
      </c>
      <c r="N55" s="667">
        <v>0</v>
      </c>
      <c r="O55" s="667">
        <v>0</v>
      </c>
      <c r="P55" s="667">
        <v>0</v>
      </c>
      <c r="Q55" s="1618">
        <v>0</v>
      </c>
      <c r="R55" s="1618"/>
      <c r="S55" s="667">
        <v>0</v>
      </c>
      <c r="T55" s="667">
        <v>0</v>
      </c>
      <c r="U55" s="668">
        <v>0</v>
      </c>
    </row>
    <row r="56" spans="1:21" ht="44.25" customHeight="1">
      <c r="A56" s="2"/>
      <c r="B56" s="2"/>
      <c r="C56" s="662" t="s">
        <v>179</v>
      </c>
      <c r="D56" s="663" t="s">
        <v>147</v>
      </c>
      <c r="E56" s="664" t="s">
        <v>148</v>
      </c>
      <c r="F56" s="669" t="s">
        <v>224</v>
      </c>
      <c r="G56" s="1617" t="s">
        <v>240</v>
      </c>
      <c r="H56" s="1617"/>
      <c r="I56" s="665" t="s">
        <v>82</v>
      </c>
      <c r="J56" s="666">
        <v>1</v>
      </c>
      <c r="K56" s="667">
        <f t="shared" si="0"/>
        <v>222318100</v>
      </c>
      <c r="L56" s="667">
        <v>0</v>
      </c>
      <c r="M56" s="667">
        <v>222318100</v>
      </c>
      <c r="N56" s="667">
        <v>0</v>
      </c>
      <c r="O56" s="667">
        <v>0</v>
      </c>
      <c r="P56" s="667">
        <v>0</v>
      </c>
      <c r="Q56" s="1618">
        <v>0</v>
      </c>
      <c r="R56" s="1618"/>
      <c r="S56" s="667">
        <v>0</v>
      </c>
      <c r="T56" s="667">
        <v>0</v>
      </c>
      <c r="U56" s="668">
        <v>0</v>
      </c>
    </row>
    <row r="57" spans="1:21" ht="44.25" customHeight="1">
      <c r="A57" s="2"/>
      <c r="B57" s="2"/>
      <c r="C57" s="662" t="s">
        <v>179</v>
      </c>
      <c r="D57" s="663" t="s">
        <v>147</v>
      </c>
      <c r="E57" s="664" t="s">
        <v>148</v>
      </c>
      <c r="F57" s="669" t="s">
        <v>224</v>
      </c>
      <c r="G57" s="1617" t="s">
        <v>240</v>
      </c>
      <c r="H57" s="1617"/>
      <c r="I57" s="665" t="s">
        <v>83</v>
      </c>
      <c r="J57" s="666">
        <v>0</v>
      </c>
      <c r="K57" s="667">
        <f t="shared" si="0"/>
        <v>0</v>
      </c>
      <c r="L57" s="667">
        <v>0</v>
      </c>
      <c r="M57" s="667">
        <v>0</v>
      </c>
      <c r="N57" s="667">
        <v>0</v>
      </c>
      <c r="O57" s="667">
        <v>0</v>
      </c>
      <c r="P57" s="667">
        <v>0</v>
      </c>
      <c r="Q57" s="1618">
        <v>0</v>
      </c>
      <c r="R57" s="1618"/>
      <c r="S57" s="667">
        <v>0</v>
      </c>
      <c r="T57" s="667">
        <v>0</v>
      </c>
      <c r="U57" s="668">
        <v>0</v>
      </c>
    </row>
    <row r="58" spans="1:21" ht="29.25" customHeight="1">
      <c r="A58" s="2"/>
      <c r="B58" s="2"/>
      <c r="C58" s="662" t="s">
        <v>179</v>
      </c>
      <c r="D58" s="663" t="s">
        <v>147</v>
      </c>
      <c r="E58" s="664" t="s">
        <v>148</v>
      </c>
      <c r="F58" s="669" t="s">
        <v>230</v>
      </c>
      <c r="G58" s="1617" t="s">
        <v>241</v>
      </c>
      <c r="H58" s="1617"/>
      <c r="I58" s="665" t="s">
        <v>81</v>
      </c>
      <c r="J58" s="666">
        <v>3550</v>
      </c>
      <c r="K58" s="667">
        <f t="shared" si="0"/>
        <v>10000000</v>
      </c>
      <c r="L58" s="667">
        <v>0</v>
      </c>
      <c r="M58" s="667">
        <v>10000000</v>
      </c>
      <c r="N58" s="667">
        <v>0</v>
      </c>
      <c r="O58" s="667">
        <v>0</v>
      </c>
      <c r="P58" s="667">
        <v>0</v>
      </c>
      <c r="Q58" s="1618">
        <v>0</v>
      </c>
      <c r="R58" s="1618"/>
      <c r="S58" s="667">
        <v>0</v>
      </c>
      <c r="T58" s="667">
        <v>0</v>
      </c>
      <c r="U58" s="668">
        <v>0</v>
      </c>
    </row>
    <row r="59" spans="1:21" ht="29.25" customHeight="1">
      <c r="A59" s="2"/>
      <c r="B59" s="2"/>
      <c r="C59" s="662" t="s">
        <v>179</v>
      </c>
      <c r="D59" s="663" t="s">
        <v>147</v>
      </c>
      <c r="E59" s="664" t="s">
        <v>148</v>
      </c>
      <c r="F59" s="669" t="s">
        <v>230</v>
      </c>
      <c r="G59" s="1617" t="s">
        <v>241</v>
      </c>
      <c r="H59" s="1617"/>
      <c r="I59" s="665" t="s">
        <v>82</v>
      </c>
      <c r="J59" s="666">
        <v>3550</v>
      </c>
      <c r="K59" s="667">
        <f t="shared" si="0"/>
        <v>10000000</v>
      </c>
      <c r="L59" s="667">
        <v>0</v>
      </c>
      <c r="M59" s="667">
        <v>10000000</v>
      </c>
      <c r="N59" s="667">
        <v>0</v>
      </c>
      <c r="O59" s="667">
        <v>0</v>
      </c>
      <c r="P59" s="667">
        <v>0</v>
      </c>
      <c r="Q59" s="1618">
        <v>0</v>
      </c>
      <c r="R59" s="1618"/>
      <c r="S59" s="667">
        <v>0</v>
      </c>
      <c r="T59" s="667">
        <v>0</v>
      </c>
      <c r="U59" s="668">
        <v>0</v>
      </c>
    </row>
    <row r="60" spans="1:21" ht="29.25" customHeight="1">
      <c r="A60" s="2"/>
      <c r="B60" s="2"/>
      <c r="C60" s="662" t="s">
        <v>179</v>
      </c>
      <c r="D60" s="663" t="s">
        <v>147</v>
      </c>
      <c r="E60" s="664" t="s">
        <v>148</v>
      </c>
      <c r="F60" s="669" t="s">
        <v>230</v>
      </c>
      <c r="G60" s="1617" t="s">
        <v>241</v>
      </c>
      <c r="H60" s="1617"/>
      <c r="I60" s="665" t="s">
        <v>83</v>
      </c>
      <c r="J60" s="666">
        <v>0</v>
      </c>
      <c r="K60" s="667">
        <f t="shared" si="0"/>
        <v>0</v>
      </c>
      <c r="L60" s="667">
        <v>0</v>
      </c>
      <c r="M60" s="667">
        <v>0</v>
      </c>
      <c r="N60" s="667">
        <v>0</v>
      </c>
      <c r="O60" s="667">
        <v>0</v>
      </c>
      <c r="P60" s="667">
        <v>0</v>
      </c>
      <c r="Q60" s="1618">
        <v>0</v>
      </c>
      <c r="R60" s="1618"/>
      <c r="S60" s="667">
        <v>0</v>
      </c>
      <c r="T60" s="667">
        <v>0</v>
      </c>
      <c r="U60" s="668">
        <v>0</v>
      </c>
    </row>
    <row r="61" spans="1:21" ht="36" customHeight="1">
      <c r="A61" s="2"/>
      <c r="B61" s="2"/>
      <c r="C61" s="662" t="s">
        <v>179</v>
      </c>
      <c r="D61" s="663" t="s">
        <v>147</v>
      </c>
      <c r="E61" s="664" t="s">
        <v>148</v>
      </c>
      <c r="F61" s="669" t="s">
        <v>229</v>
      </c>
      <c r="G61" s="1617" t="s">
        <v>242</v>
      </c>
      <c r="H61" s="1617"/>
      <c r="I61" s="665" t="s">
        <v>81</v>
      </c>
      <c r="J61" s="666">
        <v>300</v>
      </c>
      <c r="K61" s="667">
        <f t="shared" si="0"/>
        <v>60000000</v>
      </c>
      <c r="L61" s="667">
        <v>0</v>
      </c>
      <c r="M61" s="667">
        <v>60000000</v>
      </c>
      <c r="N61" s="667">
        <v>0</v>
      </c>
      <c r="O61" s="667">
        <v>0</v>
      </c>
      <c r="P61" s="667">
        <v>0</v>
      </c>
      <c r="Q61" s="1618">
        <v>0</v>
      </c>
      <c r="R61" s="1618"/>
      <c r="S61" s="667">
        <v>0</v>
      </c>
      <c r="T61" s="667">
        <v>0</v>
      </c>
      <c r="U61" s="668">
        <v>0</v>
      </c>
    </row>
    <row r="62" spans="1:21" ht="36" customHeight="1">
      <c r="A62" s="2"/>
      <c r="B62" s="2"/>
      <c r="C62" s="662" t="s">
        <v>179</v>
      </c>
      <c r="D62" s="663" t="s">
        <v>147</v>
      </c>
      <c r="E62" s="664" t="s">
        <v>148</v>
      </c>
      <c r="F62" s="669" t="s">
        <v>229</v>
      </c>
      <c r="G62" s="1617" t="s">
        <v>242</v>
      </c>
      <c r="H62" s="1617"/>
      <c r="I62" s="665" t="s">
        <v>82</v>
      </c>
      <c r="J62" s="666">
        <v>300</v>
      </c>
      <c r="K62" s="667">
        <f t="shared" si="0"/>
        <v>60000000</v>
      </c>
      <c r="L62" s="667">
        <v>0</v>
      </c>
      <c r="M62" s="667">
        <v>60000000</v>
      </c>
      <c r="N62" s="667">
        <v>0</v>
      </c>
      <c r="O62" s="667">
        <v>0</v>
      </c>
      <c r="P62" s="667">
        <v>0</v>
      </c>
      <c r="Q62" s="1618">
        <v>0</v>
      </c>
      <c r="R62" s="1618"/>
      <c r="S62" s="667">
        <v>0</v>
      </c>
      <c r="T62" s="667">
        <v>0</v>
      </c>
      <c r="U62" s="668">
        <v>0</v>
      </c>
    </row>
    <row r="63" spans="1:21" ht="36" customHeight="1">
      <c r="A63" s="2"/>
      <c r="B63" s="2"/>
      <c r="C63" s="662" t="s">
        <v>179</v>
      </c>
      <c r="D63" s="663" t="s">
        <v>147</v>
      </c>
      <c r="E63" s="664" t="s">
        <v>148</v>
      </c>
      <c r="F63" s="669" t="s">
        <v>229</v>
      </c>
      <c r="G63" s="1617" t="s">
        <v>242</v>
      </c>
      <c r="H63" s="1617"/>
      <c r="I63" s="665" t="s">
        <v>83</v>
      </c>
      <c r="J63" s="666">
        <v>0</v>
      </c>
      <c r="K63" s="667">
        <f t="shared" si="0"/>
        <v>0</v>
      </c>
      <c r="L63" s="667">
        <v>0</v>
      </c>
      <c r="M63" s="667">
        <v>0</v>
      </c>
      <c r="N63" s="667">
        <v>0</v>
      </c>
      <c r="O63" s="667">
        <v>0</v>
      </c>
      <c r="P63" s="667">
        <v>0</v>
      </c>
      <c r="Q63" s="1618">
        <v>0</v>
      </c>
      <c r="R63" s="1618"/>
      <c r="S63" s="667">
        <v>0</v>
      </c>
      <c r="T63" s="667">
        <v>0</v>
      </c>
      <c r="U63" s="668">
        <v>0</v>
      </c>
    </row>
    <row r="64" spans="1:21" ht="36" customHeight="1">
      <c r="A64" s="2"/>
      <c r="B64" s="2"/>
      <c r="C64" s="662" t="s">
        <v>179</v>
      </c>
      <c r="D64" s="663" t="s">
        <v>147</v>
      </c>
      <c r="E64" s="664" t="s">
        <v>148</v>
      </c>
      <c r="F64" s="669" t="s">
        <v>231</v>
      </c>
      <c r="G64" s="1617" t="s">
        <v>243</v>
      </c>
      <c r="H64" s="1617"/>
      <c r="I64" s="665" t="s">
        <v>81</v>
      </c>
      <c r="J64" s="666">
        <v>1</v>
      </c>
      <c r="K64" s="667">
        <f t="shared" si="0"/>
        <v>31822600</v>
      </c>
      <c r="L64" s="667">
        <v>0</v>
      </c>
      <c r="M64" s="667">
        <v>31822600</v>
      </c>
      <c r="N64" s="667">
        <v>0</v>
      </c>
      <c r="O64" s="667">
        <v>0</v>
      </c>
      <c r="P64" s="667">
        <v>0</v>
      </c>
      <c r="Q64" s="1618">
        <v>0</v>
      </c>
      <c r="R64" s="1618"/>
      <c r="S64" s="667">
        <v>0</v>
      </c>
      <c r="T64" s="667">
        <v>0</v>
      </c>
      <c r="U64" s="668">
        <v>0</v>
      </c>
    </row>
    <row r="65" spans="1:21" ht="36" customHeight="1">
      <c r="A65" s="2"/>
      <c r="B65" s="2"/>
      <c r="C65" s="662" t="s">
        <v>179</v>
      </c>
      <c r="D65" s="663" t="s">
        <v>147</v>
      </c>
      <c r="E65" s="664" t="s">
        <v>148</v>
      </c>
      <c r="F65" s="669" t="s">
        <v>231</v>
      </c>
      <c r="G65" s="1617" t="s">
        <v>243</v>
      </c>
      <c r="H65" s="1617"/>
      <c r="I65" s="665" t="s">
        <v>82</v>
      </c>
      <c r="J65" s="666">
        <v>1</v>
      </c>
      <c r="K65" s="667">
        <f t="shared" si="0"/>
        <v>31822600</v>
      </c>
      <c r="L65" s="667">
        <v>0</v>
      </c>
      <c r="M65" s="667">
        <v>31822600</v>
      </c>
      <c r="N65" s="667">
        <v>0</v>
      </c>
      <c r="O65" s="667">
        <v>0</v>
      </c>
      <c r="P65" s="667">
        <v>0</v>
      </c>
      <c r="Q65" s="1618">
        <v>0</v>
      </c>
      <c r="R65" s="1618"/>
      <c r="S65" s="667">
        <v>0</v>
      </c>
      <c r="T65" s="667">
        <v>0</v>
      </c>
      <c r="U65" s="668">
        <v>0</v>
      </c>
    </row>
    <row r="66" spans="1:21" ht="36" customHeight="1">
      <c r="A66" s="2"/>
      <c r="B66" s="2"/>
      <c r="C66" s="662" t="s">
        <v>179</v>
      </c>
      <c r="D66" s="663" t="s">
        <v>147</v>
      </c>
      <c r="E66" s="664" t="s">
        <v>148</v>
      </c>
      <c r="F66" s="669" t="s">
        <v>231</v>
      </c>
      <c r="G66" s="1617" t="s">
        <v>243</v>
      </c>
      <c r="H66" s="1617"/>
      <c r="I66" s="665" t="s">
        <v>83</v>
      </c>
      <c r="J66" s="666">
        <v>0</v>
      </c>
      <c r="K66" s="667">
        <f t="shared" si="0"/>
        <v>0</v>
      </c>
      <c r="L66" s="667">
        <v>0</v>
      </c>
      <c r="M66" s="667">
        <v>0</v>
      </c>
      <c r="N66" s="667">
        <v>0</v>
      </c>
      <c r="O66" s="667">
        <v>0</v>
      </c>
      <c r="P66" s="667">
        <v>0</v>
      </c>
      <c r="Q66" s="1618">
        <v>0</v>
      </c>
      <c r="R66" s="1618"/>
      <c r="S66" s="667">
        <v>0</v>
      </c>
      <c r="T66" s="667">
        <v>0</v>
      </c>
      <c r="U66" s="668">
        <v>0</v>
      </c>
    </row>
    <row r="67" spans="1:21" ht="36" customHeight="1">
      <c r="A67" s="2"/>
      <c r="B67" s="2"/>
      <c r="C67" s="662" t="s">
        <v>179</v>
      </c>
      <c r="D67" s="663" t="s">
        <v>147</v>
      </c>
      <c r="E67" s="664" t="s">
        <v>148</v>
      </c>
      <c r="F67" s="669" t="s">
        <v>691</v>
      </c>
      <c r="G67" s="1617" t="s">
        <v>692</v>
      </c>
      <c r="H67" s="1617"/>
      <c r="I67" s="665" t="s">
        <v>81</v>
      </c>
      <c r="J67" s="666">
        <v>300</v>
      </c>
      <c r="K67" s="667">
        <f t="shared" si="0"/>
        <v>10000000</v>
      </c>
      <c r="L67" s="667"/>
      <c r="M67" s="667">
        <v>10000000</v>
      </c>
      <c r="N67" s="667">
        <v>0</v>
      </c>
      <c r="O67" s="667">
        <v>0</v>
      </c>
      <c r="P67" s="667">
        <v>0</v>
      </c>
      <c r="Q67" s="1618">
        <v>0</v>
      </c>
      <c r="R67" s="1618"/>
      <c r="S67" s="667">
        <v>0</v>
      </c>
      <c r="T67" s="667">
        <v>0</v>
      </c>
      <c r="U67" s="668">
        <v>0</v>
      </c>
    </row>
    <row r="68" spans="1:21" ht="36" customHeight="1">
      <c r="A68" s="2"/>
      <c r="B68" s="2"/>
      <c r="C68" s="662" t="s">
        <v>179</v>
      </c>
      <c r="D68" s="663" t="s">
        <v>147</v>
      </c>
      <c r="E68" s="664" t="s">
        <v>148</v>
      </c>
      <c r="F68" s="669" t="s">
        <v>691</v>
      </c>
      <c r="G68" s="1617" t="s">
        <v>692</v>
      </c>
      <c r="H68" s="1617"/>
      <c r="I68" s="665" t="s">
        <v>82</v>
      </c>
      <c r="J68" s="666">
        <v>300</v>
      </c>
      <c r="K68" s="667">
        <f t="shared" si="0"/>
        <v>10000000</v>
      </c>
      <c r="L68" s="667">
        <v>0</v>
      </c>
      <c r="M68" s="667">
        <v>10000000</v>
      </c>
      <c r="N68" s="667">
        <v>0</v>
      </c>
      <c r="O68" s="667">
        <v>0</v>
      </c>
      <c r="P68" s="667">
        <v>0</v>
      </c>
      <c r="Q68" s="1618">
        <v>0</v>
      </c>
      <c r="R68" s="1618"/>
      <c r="S68" s="667">
        <v>0</v>
      </c>
      <c r="T68" s="667">
        <v>0</v>
      </c>
      <c r="U68" s="668">
        <v>0</v>
      </c>
    </row>
    <row r="69" spans="1:21" ht="36" customHeight="1">
      <c r="A69" s="2"/>
      <c r="B69" s="2"/>
      <c r="C69" s="662" t="s">
        <v>179</v>
      </c>
      <c r="D69" s="663" t="s">
        <v>147</v>
      </c>
      <c r="E69" s="664" t="s">
        <v>148</v>
      </c>
      <c r="F69" s="669" t="s">
        <v>691</v>
      </c>
      <c r="G69" s="1617" t="s">
        <v>692</v>
      </c>
      <c r="H69" s="1617"/>
      <c r="I69" s="665" t="s">
        <v>83</v>
      </c>
      <c r="J69" s="666">
        <v>0</v>
      </c>
      <c r="K69" s="667">
        <f t="shared" si="0"/>
        <v>0</v>
      </c>
      <c r="L69" s="667">
        <v>0</v>
      </c>
      <c r="M69" s="667">
        <v>0</v>
      </c>
      <c r="N69" s="667">
        <v>0</v>
      </c>
      <c r="O69" s="667">
        <v>0</v>
      </c>
      <c r="P69" s="667">
        <v>0</v>
      </c>
      <c r="Q69" s="1618">
        <v>0</v>
      </c>
      <c r="R69" s="1618"/>
      <c r="S69" s="667">
        <v>0</v>
      </c>
      <c r="T69" s="667">
        <v>0</v>
      </c>
      <c r="U69" s="668">
        <v>0</v>
      </c>
    </row>
    <row r="70" spans="1:21" ht="36" customHeight="1">
      <c r="A70" s="2"/>
      <c r="B70" s="2"/>
      <c r="C70" s="662" t="s">
        <v>179</v>
      </c>
      <c r="D70" s="663" t="s">
        <v>147</v>
      </c>
      <c r="E70" s="664" t="s">
        <v>148</v>
      </c>
      <c r="F70" s="669" t="s">
        <v>693</v>
      </c>
      <c r="G70" s="1617" t="s">
        <v>694</v>
      </c>
      <c r="H70" s="1617"/>
      <c r="I70" s="665" t="s">
        <v>81</v>
      </c>
      <c r="J70" s="666">
        <v>420</v>
      </c>
      <c r="K70" s="667">
        <f t="shared" si="0"/>
        <v>30000000</v>
      </c>
      <c r="L70" s="667">
        <v>0</v>
      </c>
      <c r="M70" s="667">
        <v>30000000</v>
      </c>
      <c r="N70" s="667">
        <v>0</v>
      </c>
      <c r="O70" s="667">
        <v>0</v>
      </c>
      <c r="P70" s="667">
        <v>0</v>
      </c>
      <c r="Q70" s="1618">
        <v>0</v>
      </c>
      <c r="R70" s="1618"/>
      <c r="S70" s="667">
        <v>0</v>
      </c>
      <c r="T70" s="667">
        <v>0</v>
      </c>
      <c r="U70" s="668">
        <v>0</v>
      </c>
    </row>
    <row r="71" spans="1:21" ht="36" customHeight="1">
      <c r="A71" s="2"/>
      <c r="B71" s="2"/>
      <c r="C71" s="662" t="s">
        <v>179</v>
      </c>
      <c r="D71" s="663" t="s">
        <v>147</v>
      </c>
      <c r="E71" s="664" t="s">
        <v>148</v>
      </c>
      <c r="F71" s="669" t="s">
        <v>693</v>
      </c>
      <c r="G71" s="1617" t="s">
        <v>694</v>
      </c>
      <c r="H71" s="1617"/>
      <c r="I71" s="665" t="s">
        <v>82</v>
      </c>
      <c r="J71" s="666">
        <v>420</v>
      </c>
      <c r="K71" s="667">
        <f t="shared" si="0"/>
        <v>30000000</v>
      </c>
      <c r="L71" s="667">
        <v>0</v>
      </c>
      <c r="M71" s="667">
        <v>30000000</v>
      </c>
      <c r="N71" s="667">
        <v>0</v>
      </c>
      <c r="O71" s="667">
        <v>0</v>
      </c>
      <c r="P71" s="667">
        <v>0</v>
      </c>
      <c r="Q71" s="1618">
        <v>0</v>
      </c>
      <c r="R71" s="1618"/>
      <c r="S71" s="667">
        <v>0</v>
      </c>
      <c r="T71" s="667">
        <v>0</v>
      </c>
      <c r="U71" s="668">
        <v>0</v>
      </c>
    </row>
    <row r="72" spans="1:21" ht="36" customHeight="1">
      <c r="A72" s="2"/>
      <c r="B72" s="2"/>
      <c r="C72" s="662" t="s">
        <v>179</v>
      </c>
      <c r="D72" s="663" t="s">
        <v>147</v>
      </c>
      <c r="E72" s="664" t="s">
        <v>148</v>
      </c>
      <c r="F72" s="669" t="s">
        <v>693</v>
      </c>
      <c r="G72" s="1617" t="s">
        <v>694</v>
      </c>
      <c r="H72" s="1617"/>
      <c r="I72" s="665" t="s">
        <v>83</v>
      </c>
      <c r="J72" s="666">
        <v>0</v>
      </c>
      <c r="K72" s="667">
        <f t="shared" si="0"/>
        <v>0</v>
      </c>
      <c r="L72" s="667">
        <v>0</v>
      </c>
      <c r="M72" s="667">
        <v>0</v>
      </c>
      <c r="N72" s="667">
        <v>0</v>
      </c>
      <c r="O72" s="667">
        <v>0</v>
      </c>
      <c r="P72" s="667">
        <v>0</v>
      </c>
      <c r="Q72" s="1618">
        <v>0</v>
      </c>
      <c r="R72" s="1618"/>
      <c r="S72" s="667">
        <v>0</v>
      </c>
      <c r="T72" s="667">
        <v>0</v>
      </c>
      <c r="U72" s="668">
        <v>0</v>
      </c>
    </row>
    <row r="73" spans="1:21" ht="36" customHeight="1">
      <c r="A73" s="2"/>
      <c r="B73" s="2"/>
      <c r="C73" s="662" t="s">
        <v>179</v>
      </c>
      <c r="D73" s="663" t="s">
        <v>147</v>
      </c>
      <c r="E73" s="664" t="s">
        <v>148</v>
      </c>
      <c r="F73" s="669" t="s">
        <v>695</v>
      </c>
      <c r="G73" s="670" t="s">
        <v>696</v>
      </c>
      <c r="H73" s="670" t="s">
        <v>696</v>
      </c>
      <c r="I73" s="665" t="s">
        <v>81</v>
      </c>
      <c r="J73" s="666">
        <v>1060</v>
      </c>
      <c r="K73" s="667">
        <f t="shared" si="0"/>
        <v>42000000</v>
      </c>
      <c r="L73" s="667">
        <v>0</v>
      </c>
      <c r="M73" s="667">
        <v>42000000</v>
      </c>
      <c r="N73" s="667">
        <v>0</v>
      </c>
      <c r="O73" s="667">
        <v>0</v>
      </c>
      <c r="P73" s="667">
        <v>0</v>
      </c>
      <c r="Q73" s="1618">
        <v>0</v>
      </c>
      <c r="R73" s="1618"/>
      <c r="S73" s="667">
        <v>0</v>
      </c>
      <c r="T73" s="667">
        <v>0</v>
      </c>
      <c r="U73" s="668">
        <v>0</v>
      </c>
    </row>
    <row r="74" spans="1:21" ht="36" customHeight="1">
      <c r="A74" s="2"/>
      <c r="B74" s="2"/>
      <c r="C74" s="662" t="s">
        <v>179</v>
      </c>
      <c r="D74" s="663" t="s">
        <v>147</v>
      </c>
      <c r="E74" s="664" t="s">
        <v>148</v>
      </c>
      <c r="F74" s="669" t="s">
        <v>695</v>
      </c>
      <c r="G74" s="670" t="s">
        <v>696</v>
      </c>
      <c r="H74" s="670" t="s">
        <v>696</v>
      </c>
      <c r="I74" s="665" t="s">
        <v>82</v>
      </c>
      <c r="J74" s="666">
        <v>1060</v>
      </c>
      <c r="K74" s="667">
        <f t="shared" si="0"/>
        <v>42000000</v>
      </c>
      <c r="L74" s="667">
        <v>0</v>
      </c>
      <c r="M74" s="667">
        <v>42000000</v>
      </c>
      <c r="N74" s="667">
        <v>0</v>
      </c>
      <c r="O74" s="667">
        <v>0</v>
      </c>
      <c r="P74" s="667">
        <v>0</v>
      </c>
      <c r="Q74" s="1618">
        <v>0</v>
      </c>
      <c r="R74" s="1618"/>
      <c r="S74" s="667">
        <v>0</v>
      </c>
      <c r="T74" s="667">
        <v>0</v>
      </c>
      <c r="U74" s="668">
        <v>0</v>
      </c>
    </row>
    <row r="75" spans="1:21" ht="36" customHeight="1">
      <c r="A75" s="2"/>
      <c r="B75" s="2"/>
      <c r="C75" s="662" t="s">
        <v>179</v>
      </c>
      <c r="D75" s="663" t="s">
        <v>147</v>
      </c>
      <c r="E75" s="664" t="s">
        <v>148</v>
      </c>
      <c r="F75" s="669" t="s">
        <v>695</v>
      </c>
      <c r="G75" s="670" t="s">
        <v>696</v>
      </c>
      <c r="H75" s="670" t="s">
        <v>696</v>
      </c>
      <c r="I75" s="665" t="s">
        <v>83</v>
      </c>
      <c r="J75" s="666">
        <v>0</v>
      </c>
      <c r="K75" s="667">
        <f t="shared" si="0"/>
        <v>0</v>
      </c>
      <c r="L75" s="667">
        <v>0</v>
      </c>
      <c r="M75" s="667">
        <v>0</v>
      </c>
      <c r="N75" s="667">
        <v>0</v>
      </c>
      <c r="O75" s="667">
        <v>0</v>
      </c>
      <c r="P75" s="667">
        <v>0</v>
      </c>
      <c r="Q75" s="1618">
        <v>0</v>
      </c>
      <c r="R75" s="1618"/>
      <c r="S75" s="667">
        <v>0</v>
      </c>
      <c r="T75" s="667">
        <v>0</v>
      </c>
      <c r="U75" s="668">
        <v>0</v>
      </c>
    </row>
    <row r="76" spans="1:21" ht="34.5" customHeight="1">
      <c r="A76" s="2"/>
      <c r="B76" s="2"/>
      <c r="C76" s="662" t="s">
        <v>179</v>
      </c>
      <c r="D76" s="663" t="s">
        <v>147</v>
      </c>
      <c r="E76" s="664" t="s">
        <v>148</v>
      </c>
      <c r="F76" s="669" t="s">
        <v>697</v>
      </c>
      <c r="G76" s="670" t="s">
        <v>698</v>
      </c>
      <c r="H76" s="670" t="s">
        <v>698</v>
      </c>
      <c r="I76" s="665" t="s">
        <v>81</v>
      </c>
      <c r="J76" s="666">
        <v>0</v>
      </c>
      <c r="K76" s="667">
        <f t="shared" si="0"/>
        <v>10000000</v>
      </c>
      <c r="L76" s="667">
        <v>0</v>
      </c>
      <c r="M76" s="667">
        <v>10000000</v>
      </c>
      <c r="N76" s="667">
        <v>0</v>
      </c>
      <c r="O76" s="667">
        <v>0</v>
      </c>
      <c r="P76" s="667">
        <v>0</v>
      </c>
      <c r="Q76" s="1618">
        <v>0</v>
      </c>
      <c r="R76" s="1618"/>
      <c r="S76" s="667">
        <v>0</v>
      </c>
      <c r="T76" s="667">
        <v>0</v>
      </c>
      <c r="U76" s="668">
        <v>0</v>
      </c>
    </row>
    <row r="77" spans="1:21" ht="34.5" customHeight="1">
      <c r="A77" s="2"/>
      <c r="B77" s="2"/>
      <c r="C77" s="662" t="s">
        <v>179</v>
      </c>
      <c r="D77" s="663" t="s">
        <v>147</v>
      </c>
      <c r="E77" s="664" t="s">
        <v>148</v>
      </c>
      <c r="F77" s="669" t="s">
        <v>697</v>
      </c>
      <c r="G77" s="670" t="s">
        <v>698</v>
      </c>
      <c r="H77" s="670" t="s">
        <v>698</v>
      </c>
      <c r="I77" s="665" t="s">
        <v>82</v>
      </c>
      <c r="J77" s="666">
        <v>0</v>
      </c>
      <c r="K77" s="667">
        <f t="shared" si="0"/>
        <v>10000000</v>
      </c>
      <c r="L77" s="667">
        <v>0</v>
      </c>
      <c r="M77" s="667">
        <v>10000000</v>
      </c>
      <c r="N77" s="667">
        <v>0</v>
      </c>
      <c r="O77" s="667">
        <v>0</v>
      </c>
      <c r="P77" s="667">
        <v>0</v>
      </c>
      <c r="Q77" s="1618">
        <v>0</v>
      </c>
      <c r="R77" s="1618"/>
      <c r="S77" s="667">
        <v>0</v>
      </c>
      <c r="T77" s="667">
        <v>0</v>
      </c>
      <c r="U77" s="668">
        <v>0</v>
      </c>
    </row>
    <row r="78" spans="1:21" ht="34.5" customHeight="1">
      <c r="A78" s="2"/>
      <c r="B78" s="2"/>
      <c r="C78" s="662" t="s">
        <v>179</v>
      </c>
      <c r="D78" s="663" t="s">
        <v>147</v>
      </c>
      <c r="E78" s="664" t="s">
        <v>148</v>
      </c>
      <c r="F78" s="669" t="s">
        <v>697</v>
      </c>
      <c r="G78" s="670" t="s">
        <v>698</v>
      </c>
      <c r="H78" s="670" t="s">
        <v>698</v>
      </c>
      <c r="I78" s="665" t="s">
        <v>83</v>
      </c>
      <c r="J78" s="666">
        <v>0</v>
      </c>
      <c r="K78" s="667">
        <f t="shared" ref="K78:K123" si="1">L78+M78+N78+O78+P78+Q78+S78+T78+U78</f>
        <v>0</v>
      </c>
      <c r="L78" s="667">
        <v>0</v>
      </c>
      <c r="M78" s="667">
        <v>0</v>
      </c>
      <c r="N78" s="667">
        <v>0</v>
      </c>
      <c r="O78" s="667">
        <v>0</v>
      </c>
      <c r="P78" s="667">
        <v>0</v>
      </c>
      <c r="Q78" s="1618">
        <v>0</v>
      </c>
      <c r="R78" s="1618"/>
      <c r="S78" s="667">
        <v>0</v>
      </c>
      <c r="T78" s="667">
        <v>0</v>
      </c>
      <c r="U78" s="668">
        <v>0</v>
      </c>
    </row>
    <row r="79" spans="1:21" ht="33" customHeight="1">
      <c r="A79" s="2"/>
      <c r="B79" s="2"/>
      <c r="C79" s="662" t="s">
        <v>179</v>
      </c>
      <c r="D79" s="663" t="s">
        <v>147</v>
      </c>
      <c r="E79" s="664" t="s">
        <v>148</v>
      </c>
      <c r="F79" s="669" t="s">
        <v>190</v>
      </c>
      <c r="G79" s="670" t="s">
        <v>244</v>
      </c>
      <c r="H79" s="664"/>
      <c r="I79" s="665" t="s">
        <v>81</v>
      </c>
      <c r="J79" s="666">
        <v>14500</v>
      </c>
      <c r="K79" s="667">
        <f t="shared" si="1"/>
        <v>16000000</v>
      </c>
      <c r="L79" s="667">
        <v>0</v>
      </c>
      <c r="M79" s="667">
        <v>16000000</v>
      </c>
      <c r="N79" s="667">
        <v>0</v>
      </c>
      <c r="O79" s="667">
        <v>0</v>
      </c>
      <c r="P79" s="667">
        <v>0</v>
      </c>
      <c r="Q79" s="1618">
        <v>0</v>
      </c>
      <c r="R79" s="1618"/>
      <c r="S79" s="667">
        <v>0</v>
      </c>
      <c r="T79" s="667">
        <v>0</v>
      </c>
      <c r="U79" s="668">
        <v>0</v>
      </c>
    </row>
    <row r="80" spans="1:21" ht="33" customHeight="1">
      <c r="A80" s="2"/>
      <c r="B80" s="2"/>
      <c r="C80" s="662" t="s">
        <v>179</v>
      </c>
      <c r="D80" s="663" t="s">
        <v>147</v>
      </c>
      <c r="E80" s="664" t="s">
        <v>148</v>
      </c>
      <c r="F80" s="669" t="s">
        <v>190</v>
      </c>
      <c r="G80" s="670" t="s">
        <v>244</v>
      </c>
      <c r="H80" s="664"/>
      <c r="I80" s="665" t="s">
        <v>82</v>
      </c>
      <c r="J80" s="666">
        <v>14500</v>
      </c>
      <c r="K80" s="667">
        <f t="shared" si="1"/>
        <v>16000000</v>
      </c>
      <c r="L80" s="667">
        <v>0</v>
      </c>
      <c r="M80" s="667">
        <v>16000000</v>
      </c>
      <c r="N80" s="667">
        <v>0</v>
      </c>
      <c r="O80" s="667">
        <v>0</v>
      </c>
      <c r="P80" s="667">
        <v>0</v>
      </c>
      <c r="Q80" s="1618">
        <v>0</v>
      </c>
      <c r="R80" s="1618"/>
      <c r="S80" s="667">
        <v>0</v>
      </c>
      <c r="T80" s="667">
        <v>0</v>
      </c>
      <c r="U80" s="668">
        <v>0</v>
      </c>
    </row>
    <row r="81" spans="1:23" ht="33" customHeight="1">
      <c r="A81" s="2"/>
      <c r="B81" s="2"/>
      <c r="C81" s="662" t="s">
        <v>179</v>
      </c>
      <c r="D81" s="663" t="s">
        <v>147</v>
      </c>
      <c r="E81" s="664" t="s">
        <v>148</v>
      </c>
      <c r="F81" s="669" t="s">
        <v>190</v>
      </c>
      <c r="G81" s="670" t="s">
        <v>244</v>
      </c>
      <c r="H81" s="664"/>
      <c r="I81" s="665" t="s">
        <v>83</v>
      </c>
      <c r="J81" s="666">
        <v>0</v>
      </c>
      <c r="K81" s="667">
        <v>0</v>
      </c>
      <c r="L81" s="667">
        <v>0</v>
      </c>
      <c r="M81" s="667">
        <v>0</v>
      </c>
      <c r="N81" s="667">
        <v>0</v>
      </c>
      <c r="O81" s="667">
        <v>0</v>
      </c>
      <c r="P81" s="667">
        <v>0</v>
      </c>
      <c r="Q81" s="1618">
        <v>0</v>
      </c>
      <c r="R81" s="1618"/>
      <c r="S81" s="667">
        <v>0</v>
      </c>
      <c r="T81" s="667">
        <v>0</v>
      </c>
      <c r="U81" s="668">
        <v>0</v>
      </c>
    </row>
    <row r="82" spans="1:23" ht="36" customHeight="1">
      <c r="A82" s="2"/>
      <c r="B82" s="2"/>
      <c r="C82" s="662" t="s">
        <v>179</v>
      </c>
      <c r="D82" s="663" t="s">
        <v>147</v>
      </c>
      <c r="E82" s="664" t="s">
        <v>148</v>
      </c>
      <c r="F82" s="669" t="s">
        <v>192</v>
      </c>
      <c r="G82" s="670" t="s">
        <v>193</v>
      </c>
      <c r="H82" s="670" t="s">
        <v>193</v>
      </c>
      <c r="I82" s="665" t="s">
        <v>81</v>
      </c>
      <c r="J82" s="666">
        <v>2250</v>
      </c>
      <c r="K82" s="667">
        <f t="shared" si="1"/>
        <v>26355770</v>
      </c>
      <c r="L82" s="667">
        <v>0</v>
      </c>
      <c r="M82" s="667">
        <v>26355770</v>
      </c>
      <c r="N82" s="667">
        <v>0</v>
      </c>
      <c r="O82" s="667">
        <v>0</v>
      </c>
      <c r="P82" s="667">
        <v>0</v>
      </c>
      <c r="Q82" s="1618">
        <v>0</v>
      </c>
      <c r="R82" s="1618"/>
      <c r="S82" s="667">
        <v>0</v>
      </c>
      <c r="T82" s="667">
        <v>0</v>
      </c>
      <c r="U82" s="668">
        <v>0</v>
      </c>
    </row>
    <row r="83" spans="1:23" ht="36" customHeight="1">
      <c r="A83" s="2"/>
      <c r="B83" s="2"/>
      <c r="C83" s="662" t="s">
        <v>179</v>
      </c>
      <c r="D83" s="663" t="s">
        <v>147</v>
      </c>
      <c r="E83" s="664" t="s">
        <v>148</v>
      </c>
      <c r="F83" s="669" t="s">
        <v>192</v>
      </c>
      <c r="G83" s="670" t="s">
        <v>193</v>
      </c>
      <c r="H83" s="670" t="s">
        <v>193</v>
      </c>
      <c r="I83" s="665" t="s">
        <v>82</v>
      </c>
      <c r="J83" s="666">
        <v>2250</v>
      </c>
      <c r="K83" s="667">
        <f t="shared" si="1"/>
        <v>26355770</v>
      </c>
      <c r="L83" s="667">
        <v>0</v>
      </c>
      <c r="M83" s="667">
        <v>26355770</v>
      </c>
      <c r="N83" s="667">
        <v>0</v>
      </c>
      <c r="O83" s="667">
        <v>0</v>
      </c>
      <c r="P83" s="667">
        <v>0</v>
      </c>
      <c r="Q83" s="1618">
        <v>0</v>
      </c>
      <c r="R83" s="1618"/>
      <c r="S83" s="667">
        <v>0</v>
      </c>
      <c r="T83" s="667">
        <v>0</v>
      </c>
      <c r="U83" s="668">
        <v>0</v>
      </c>
      <c r="W83" s="30" t="e">
        <f>M83+M86+M95+#REF!+M98+M116+#REF!+#REF!+#REF!+#REF!</f>
        <v>#REF!</v>
      </c>
    </row>
    <row r="84" spans="1:23" ht="36" customHeight="1">
      <c r="A84" s="2"/>
      <c r="B84" s="2"/>
      <c r="C84" s="662" t="s">
        <v>179</v>
      </c>
      <c r="D84" s="663" t="s">
        <v>147</v>
      </c>
      <c r="E84" s="664" t="s">
        <v>148</v>
      </c>
      <c r="F84" s="669" t="s">
        <v>192</v>
      </c>
      <c r="G84" s="670" t="s">
        <v>193</v>
      </c>
      <c r="H84" s="670" t="s">
        <v>193</v>
      </c>
      <c r="I84" s="665" t="s">
        <v>83</v>
      </c>
      <c r="J84" s="666">
        <v>0</v>
      </c>
      <c r="K84" s="667">
        <f t="shared" si="1"/>
        <v>0</v>
      </c>
      <c r="L84" s="667">
        <v>0</v>
      </c>
      <c r="M84" s="667">
        <v>0</v>
      </c>
      <c r="N84" s="667">
        <v>0</v>
      </c>
      <c r="O84" s="667">
        <v>0</v>
      </c>
      <c r="P84" s="667">
        <v>0</v>
      </c>
      <c r="Q84" s="1618">
        <v>0</v>
      </c>
      <c r="R84" s="1618"/>
      <c r="S84" s="667">
        <v>0</v>
      </c>
      <c r="T84" s="667">
        <v>0</v>
      </c>
      <c r="U84" s="668">
        <v>0</v>
      </c>
    </row>
    <row r="85" spans="1:23" ht="36" customHeight="1">
      <c r="A85" s="2"/>
      <c r="B85" s="2"/>
      <c r="C85" s="662" t="s">
        <v>179</v>
      </c>
      <c r="D85" s="663" t="s">
        <v>147</v>
      </c>
      <c r="E85" s="664" t="s">
        <v>148</v>
      </c>
      <c r="F85" s="669" t="s">
        <v>191</v>
      </c>
      <c r="G85" s="670" t="s">
        <v>245</v>
      </c>
      <c r="H85" s="670" t="s">
        <v>245</v>
      </c>
      <c r="I85" s="665" t="s">
        <v>81</v>
      </c>
      <c r="J85" s="666">
        <v>3</v>
      </c>
      <c r="K85" s="667">
        <f t="shared" si="1"/>
        <v>278144000</v>
      </c>
      <c r="L85" s="667">
        <v>0</v>
      </c>
      <c r="M85" s="667">
        <v>278144000</v>
      </c>
      <c r="N85" s="667">
        <v>0</v>
      </c>
      <c r="O85" s="667">
        <v>0</v>
      </c>
      <c r="P85" s="667">
        <v>0</v>
      </c>
      <c r="Q85" s="1618">
        <v>0</v>
      </c>
      <c r="R85" s="1618"/>
      <c r="S85" s="667">
        <v>0</v>
      </c>
      <c r="T85" s="667">
        <v>0</v>
      </c>
      <c r="U85" s="668">
        <v>0</v>
      </c>
    </row>
    <row r="86" spans="1:23" ht="36" customHeight="1">
      <c r="A86" s="2"/>
      <c r="B86" s="2"/>
      <c r="C86" s="662" t="s">
        <v>179</v>
      </c>
      <c r="D86" s="663" t="s">
        <v>147</v>
      </c>
      <c r="E86" s="664" t="s">
        <v>148</v>
      </c>
      <c r="F86" s="669" t="s">
        <v>192</v>
      </c>
      <c r="G86" s="670" t="s">
        <v>245</v>
      </c>
      <c r="H86" s="670" t="s">
        <v>245</v>
      </c>
      <c r="I86" s="665" t="s">
        <v>82</v>
      </c>
      <c r="J86" s="666">
        <v>3</v>
      </c>
      <c r="K86" s="667">
        <f t="shared" si="1"/>
        <v>278144000</v>
      </c>
      <c r="L86" s="667">
        <v>0</v>
      </c>
      <c r="M86" s="667">
        <v>278144000</v>
      </c>
      <c r="N86" s="667">
        <v>0</v>
      </c>
      <c r="O86" s="667">
        <v>0</v>
      </c>
      <c r="P86" s="667">
        <v>0</v>
      </c>
      <c r="Q86" s="1618">
        <v>0</v>
      </c>
      <c r="R86" s="1618"/>
      <c r="S86" s="667">
        <v>0</v>
      </c>
      <c r="T86" s="667">
        <v>0</v>
      </c>
      <c r="U86" s="668">
        <v>0</v>
      </c>
    </row>
    <row r="87" spans="1:23" ht="36" customHeight="1">
      <c r="A87" s="2"/>
      <c r="B87" s="2"/>
      <c r="C87" s="662" t="s">
        <v>179</v>
      </c>
      <c r="D87" s="663" t="s">
        <v>147</v>
      </c>
      <c r="E87" s="664" t="s">
        <v>148</v>
      </c>
      <c r="F87" s="669" t="s">
        <v>191</v>
      </c>
      <c r="G87" s="670" t="s">
        <v>245</v>
      </c>
      <c r="H87" s="670" t="s">
        <v>245</v>
      </c>
      <c r="I87" s="665" t="s">
        <v>83</v>
      </c>
      <c r="J87" s="666">
        <v>0</v>
      </c>
      <c r="K87" s="667">
        <f t="shared" si="1"/>
        <v>0</v>
      </c>
      <c r="L87" s="667">
        <v>0</v>
      </c>
      <c r="M87" s="667">
        <v>0</v>
      </c>
      <c r="N87" s="667">
        <v>0</v>
      </c>
      <c r="O87" s="667">
        <v>0</v>
      </c>
      <c r="P87" s="667">
        <v>0</v>
      </c>
      <c r="Q87" s="1618">
        <v>0</v>
      </c>
      <c r="R87" s="1618"/>
      <c r="S87" s="667">
        <v>0</v>
      </c>
      <c r="T87" s="667">
        <v>0</v>
      </c>
      <c r="U87" s="668">
        <v>0</v>
      </c>
    </row>
    <row r="88" spans="1:23" ht="36" customHeight="1">
      <c r="A88" s="2"/>
      <c r="B88" s="2"/>
      <c r="C88" s="662" t="s">
        <v>179</v>
      </c>
      <c r="D88" s="663" t="s">
        <v>147</v>
      </c>
      <c r="E88" s="664" t="s">
        <v>148</v>
      </c>
      <c r="F88" s="669" t="s">
        <v>699</v>
      </c>
      <c r="G88" s="670" t="s">
        <v>700</v>
      </c>
      <c r="H88" s="670" t="s">
        <v>700</v>
      </c>
      <c r="I88" s="665" t="s">
        <v>81</v>
      </c>
      <c r="J88" s="666">
        <v>110</v>
      </c>
      <c r="K88" s="667">
        <f t="shared" si="1"/>
        <v>25000000</v>
      </c>
      <c r="L88" s="667">
        <v>0</v>
      </c>
      <c r="M88" s="667">
        <v>25000000</v>
      </c>
      <c r="N88" s="667">
        <v>0</v>
      </c>
      <c r="O88" s="667">
        <v>0</v>
      </c>
      <c r="P88" s="667">
        <v>0</v>
      </c>
      <c r="Q88" s="1618">
        <v>0</v>
      </c>
      <c r="R88" s="1618"/>
      <c r="S88" s="667">
        <v>0</v>
      </c>
      <c r="T88" s="667">
        <v>0</v>
      </c>
      <c r="U88" s="668">
        <v>0</v>
      </c>
    </row>
    <row r="89" spans="1:23" ht="36" customHeight="1">
      <c r="A89" s="2"/>
      <c r="B89" s="2"/>
      <c r="C89" s="662" t="s">
        <v>179</v>
      </c>
      <c r="D89" s="663" t="s">
        <v>147</v>
      </c>
      <c r="E89" s="664" t="s">
        <v>148</v>
      </c>
      <c r="F89" s="669" t="s">
        <v>699</v>
      </c>
      <c r="G89" s="670" t="s">
        <v>700</v>
      </c>
      <c r="H89" s="670" t="s">
        <v>700</v>
      </c>
      <c r="I89" s="665" t="s">
        <v>82</v>
      </c>
      <c r="J89" s="666">
        <v>110</v>
      </c>
      <c r="K89" s="667">
        <f t="shared" si="1"/>
        <v>25000000</v>
      </c>
      <c r="L89" s="667">
        <v>0</v>
      </c>
      <c r="M89" s="667">
        <v>25000000</v>
      </c>
      <c r="N89" s="667">
        <v>0</v>
      </c>
      <c r="O89" s="667">
        <v>0</v>
      </c>
      <c r="P89" s="667">
        <v>0</v>
      </c>
      <c r="Q89" s="1618">
        <v>0</v>
      </c>
      <c r="R89" s="1618"/>
      <c r="S89" s="667">
        <v>0</v>
      </c>
      <c r="T89" s="667">
        <v>0</v>
      </c>
      <c r="U89" s="668">
        <v>0</v>
      </c>
    </row>
    <row r="90" spans="1:23" ht="36" customHeight="1">
      <c r="A90" s="2"/>
      <c r="B90" s="2"/>
      <c r="C90" s="662" t="s">
        <v>179</v>
      </c>
      <c r="D90" s="663" t="s">
        <v>147</v>
      </c>
      <c r="E90" s="664" t="s">
        <v>148</v>
      </c>
      <c r="F90" s="669" t="s">
        <v>699</v>
      </c>
      <c r="G90" s="670" t="s">
        <v>700</v>
      </c>
      <c r="H90" s="670" t="s">
        <v>700</v>
      </c>
      <c r="I90" s="665" t="s">
        <v>83</v>
      </c>
      <c r="J90" s="666">
        <v>0</v>
      </c>
      <c r="K90" s="667">
        <f t="shared" si="1"/>
        <v>0</v>
      </c>
      <c r="L90" s="667">
        <v>0</v>
      </c>
      <c r="M90" s="667">
        <v>0</v>
      </c>
      <c r="N90" s="667">
        <v>0</v>
      </c>
      <c r="O90" s="667">
        <v>0</v>
      </c>
      <c r="P90" s="667">
        <v>0</v>
      </c>
      <c r="Q90" s="1618">
        <v>0</v>
      </c>
      <c r="R90" s="1618"/>
      <c r="S90" s="667">
        <v>0</v>
      </c>
      <c r="T90" s="667">
        <v>0</v>
      </c>
      <c r="U90" s="668">
        <v>0</v>
      </c>
    </row>
    <row r="91" spans="1:23" ht="36" customHeight="1">
      <c r="A91" s="2"/>
      <c r="B91" s="2"/>
      <c r="C91" s="662" t="s">
        <v>179</v>
      </c>
      <c r="D91" s="663" t="s">
        <v>147</v>
      </c>
      <c r="E91" s="664" t="s">
        <v>148</v>
      </c>
      <c r="F91" s="669" t="s">
        <v>194</v>
      </c>
      <c r="G91" s="670" t="s">
        <v>195</v>
      </c>
      <c r="H91" s="670" t="s">
        <v>195</v>
      </c>
      <c r="I91" s="665" t="s">
        <v>81</v>
      </c>
      <c r="J91" s="666">
        <v>56</v>
      </c>
      <c r="K91" s="667">
        <f t="shared" si="1"/>
        <v>9836000</v>
      </c>
      <c r="L91" s="667">
        <v>0</v>
      </c>
      <c r="M91" s="667">
        <v>9836000</v>
      </c>
      <c r="N91" s="667">
        <v>0</v>
      </c>
      <c r="O91" s="667">
        <v>0</v>
      </c>
      <c r="P91" s="667">
        <v>0</v>
      </c>
      <c r="Q91" s="1618">
        <v>0</v>
      </c>
      <c r="R91" s="1618"/>
      <c r="S91" s="667">
        <v>0</v>
      </c>
      <c r="T91" s="667">
        <v>0</v>
      </c>
      <c r="U91" s="668">
        <v>0</v>
      </c>
    </row>
    <row r="92" spans="1:23" ht="36" customHeight="1">
      <c r="A92" s="2"/>
      <c r="B92" s="2"/>
      <c r="C92" s="662" t="s">
        <v>179</v>
      </c>
      <c r="D92" s="663" t="s">
        <v>147</v>
      </c>
      <c r="E92" s="664" t="s">
        <v>148</v>
      </c>
      <c r="F92" s="669" t="s">
        <v>194</v>
      </c>
      <c r="G92" s="670" t="s">
        <v>195</v>
      </c>
      <c r="H92" s="670" t="s">
        <v>195</v>
      </c>
      <c r="I92" s="665" t="s">
        <v>82</v>
      </c>
      <c r="J92" s="666">
        <v>56</v>
      </c>
      <c r="K92" s="667">
        <f>L92+M92+N92+O92+P92+Q92+S92+T92+U92</f>
        <v>9836000</v>
      </c>
      <c r="L92" s="667">
        <v>0</v>
      </c>
      <c r="M92" s="667">
        <v>9836000</v>
      </c>
      <c r="N92" s="667">
        <v>0</v>
      </c>
      <c r="O92" s="667">
        <v>0</v>
      </c>
      <c r="P92" s="667">
        <v>0</v>
      </c>
      <c r="Q92" s="1618">
        <v>0</v>
      </c>
      <c r="R92" s="1618"/>
      <c r="S92" s="667">
        <v>0</v>
      </c>
      <c r="T92" s="667">
        <v>0</v>
      </c>
      <c r="U92" s="668">
        <v>0</v>
      </c>
    </row>
    <row r="93" spans="1:23" ht="36" customHeight="1">
      <c r="A93" s="2"/>
      <c r="B93" s="2"/>
      <c r="C93" s="662" t="s">
        <v>179</v>
      </c>
      <c r="D93" s="663" t="s">
        <v>147</v>
      </c>
      <c r="E93" s="664" t="s">
        <v>148</v>
      </c>
      <c r="F93" s="669" t="s">
        <v>194</v>
      </c>
      <c r="G93" s="670" t="s">
        <v>195</v>
      </c>
      <c r="H93" s="670" t="s">
        <v>195</v>
      </c>
      <c r="I93" s="665" t="s">
        <v>83</v>
      </c>
      <c r="J93" s="666">
        <v>0</v>
      </c>
      <c r="K93" s="667">
        <f t="shared" si="1"/>
        <v>0</v>
      </c>
      <c r="L93" s="667">
        <v>0</v>
      </c>
      <c r="M93" s="667">
        <v>0</v>
      </c>
      <c r="N93" s="667">
        <v>0</v>
      </c>
      <c r="O93" s="667">
        <v>0</v>
      </c>
      <c r="P93" s="667">
        <v>0</v>
      </c>
      <c r="Q93" s="1618">
        <v>0</v>
      </c>
      <c r="R93" s="1618"/>
      <c r="S93" s="667">
        <v>0</v>
      </c>
      <c r="T93" s="667">
        <v>0</v>
      </c>
      <c r="U93" s="668">
        <v>0</v>
      </c>
    </row>
    <row r="94" spans="1:23" ht="36" customHeight="1">
      <c r="A94" s="2"/>
      <c r="B94" s="2"/>
      <c r="C94" s="662" t="s">
        <v>179</v>
      </c>
      <c r="D94" s="663" t="s">
        <v>147</v>
      </c>
      <c r="E94" s="664" t="s">
        <v>148</v>
      </c>
      <c r="F94" s="669" t="s">
        <v>196</v>
      </c>
      <c r="G94" s="1617" t="s">
        <v>246</v>
      </c>
      <c r="H94" s="1617"/>
      <c r="I94" s="665" t="s">
        <v>81</v>
      </c>
      <c r="J94" s="666">
        <v>1500</v>
      </c>
      <c r="K94" s="667">
        <f t="shared" si="1"/>
        <v>190000000</v>
      </c>
      <c r="L94" s="667">
        <v>0</v>
      </c>
      <c r="M94" s="667">
        <v>190000000</v>
      </c>
      <c r="N94" s="667">
        <v>0</v>
      </c>
      <c r="O94" s="667">
        <v>0</v>
      </c>
      <c r="P94" s="667">
        <v>0</v>
      </c>
      <c r="Q94" s="1618">
        <v>0</v>
      </c>
      <c r="R94" s="1618"/>
      <c r="S94" s="667">
        <v>0</v>
      </c>
      <c r="T94" s="667">
        <v>0</v>
      </c>
      <c r="U94" s="668">
        <v>0</v>
      </c>
    </row>
    <row r="95" spans="1:23" ht="36" customHeight="1">
      <c r="A95" s="2"/>
      <c r="B95" s="2"/>
      <c r="C95" s="662" t="s">
        <v>179</v>
      </c>
      <c r="D95" s="663" t="s">
        <v>147</v>
      </c>
      <c r="E95" s="664" t="s">
        <v>148</v>
      </c>
      <c r="F95" s="669" t="s">
        <v>196</v>
      </c>
      <c r="G95" s="1617" t="s">
        <v>246</v>
      </c>
      <c r="H95" s="1617"/>
      <c r="I95" s="665" t="s">
        <v>82</v>
      </c>
      <c r="J95" s="666">
        <v>1500</v>
      </c>
      <c r="K95" s="667">
        <f t="shared" si="1"/>
        <v>190000000</v>
      </c>
      <c r="L95" s="667">
        <v>0</v>
      </c>
      <c r="M95" s="667">
        <v>190000000</v>
      </c>
      <c r="N95" s="667">
        <v>0</v>
      </c>
      <c r="O95" s="667">
        <v>0</v>
      </c>
      <c r="P95" s="667">
        <v>0</v>
      </c>
      <c r="Q95" s="1618">
        <v>0</v>
      </c>
      <c r="R95" s="1618"/>
      <c r="S95" s="667">
        <v>0</v>
      </c>
      <c r="T95" s="667">
        <v>0</v>
      </c>
      <c r="U95" s="668">
        <v>0</v>
      </c>
    </row>
    <row r="96" spans="1:23" ht="36" customHeight="1">
      <c r="A96" s="2"/>
      <c r="B96" s="2"/>
      <c r="C96" s="662" t="s">
        <v>179</v>
      </c>
      <c r="D96" s="663" t="s">
        <v>147</v>
      </c>
      <c r="E96" s="664" t="s">
        <v>148</v>
      </c>
      <c r="F96" s="669" t="s">
        <v>196</v>
      </c>
      <c r="G96" s="1617" t="s">
        <v>246</v>
      </c>
      <c r="H96" s="1617"/>
      <c r="I96" s="665" t="s">
        <v>83</v>
      </c>
      <c r="J96" s="666">
        <v>40</v>
      </c>
      <c r="K96" s="667">
        <f t="shared" si="1"/>
        <v>5059411</v>
      </c>
      <c r="L96" s="667">
        <v>0</v>
      </c>
      <c r="M96" s="667">
        <v>5059411</v>
      </c>
      <c r="N96" s="667">
        <v>0</v>
      </c>
      <c r="O96" s="667">
        <v>0</v>
      </c>
      <c r="P96" s="667">
        <v>0</v>
      </c>
      <c r="Q96" s="1618">
        <v>0</v>
      </c>
      <c r="R96" s="1618"/>
      <c r="S96" s="667">
        <v>0</v>
      </c>
      <c r="T96" s="667">
        <v>0</v>
      </c>
      <c r="U96" s="668">
        <v>0</v>
      </c>
    </row>
    <row r="97" spans="1:21" ht="36" customHeight="1">
      <c r="A97" s="2"/>
      <c r="B97" s="2"/>
      <c r="C97" s="662" t="s">
        <v>179</v>
      </c>
      <c r="D97" s="663" t="s">
        <v>147</v>
      </c>
      <c r="E97" s="664" t="s">
        <v>148</v>
      </c>
      <c r="F97" s="669" t="s">
        <v>200</v>
      </c>
      <c r="G97" s="670" t="s">
        <v>201</v>
      </c>
      <c r="H97" s="670" t="s">
        <v>201</v>
      </c>
      <c r="I97" s="665" t="s">
        <v>81</v>
      </c>
      <c r="J97" s="666">
        <v>1800</v>
      </c>
      <c r="K97" s="667">
        <f t="shared" si="1"/>
        <v>1641410000</v>
      </c>
      <c r="L97" s="667">
        <v>0</v>
      </c>
      <c r="M97" s="667">
        <v>1641410000</v>
      </c>
      <c r="N97" s="667">
        <v>0</v>
      </c>
      <c r="O97" s="667">
        <v>0</v>
      </c>
      <c r="P97" s="667">
        <v>0</v>
      </c>
      <c r="Q97" s="1618">
        <v>0</v>
      </c>
      <c r="R97" s="1618"/>
      <c r="S97" s="667">
        <v>0</v>
      </c>
      <c r="T97" s="667">
        <v>0</v>
      </c>
      <c r="U97" s="668">
        <v>0</v>
      </c>
    </row>
    <row r="98" spans="1:21" ht="36" customHeight="1">
      <c r="A98" s="2"/>
      <c r="B98" s="2"/>
      <c r="C98" s="662" t="s">
        <v>179</v>
      </c>
      <c r="D98" s="663" t="s">
        <v>147</v>
      </c>
      <c r="E98" s="664" t="s">
        <v>148</v>
      </c>
      <c r="F98" s="669" t="s">
        <v>200</v>
      </c>
      <c r="G98" s="670" t="s">
        <v>201</v>
      </c>
      <c r="H98" s="670" t="s">
        <v>201</v>
      </c>
      <c r="I98" s="665" t="s">
        <v>82</v>
      </c>
      <c r="J98" s="666">
        <v>1800</v>
      </c>
      <c r="K98" s="667">
        <f t="shared" si="1"/>
        <v>1641410000</v>
      </c>
      <c r="L98" s="667">
        <v>0</v>
      </c>
      <c r="M98" s="667">
        <v>1641410000</v>
      </c>
      <c r="N98" s="667">
        <v>0</v>
      </c>
      <c r="O98" s="667">
        <v>0</v>
      </c>
      <c r="P98" s="667">
        <v>0</v>
      </c>
      <c r="Q98" s="1618">
        <v>0</v>
      </c>
      <c r="R98" s="1618"/>
      <c r="S98" s="667">
        <v>0</v>
      </c>
      <c r="T98" s="667">
        <v>0</v>
      </c>
      <c r="U98" s="668">
        <v>0</v>
      </c>
    </row>
    <row r="99" spans="1:21" ht="36" customHeight="1">
      <c r="A99" s="2"/>
      <c r="B99" s="2"/>
      <c r="C99" s="662" t="s">
        <v>179</v>
      </c>
      <c r="D99" s="663" t="s">
        <v>147</v>
      </c>
      <c r="E99" s="664" t="s">
        <v>148</v>
      </c>
      <c r="F99" s="669" t="s">
        <v>200</v>
      </c>
      <c r="G99" s="670" t="s">
        <v>201</v>
      </c>
      <c r="H99" s="670" t="s">
        <v>201</v>
      </c>
      <c r="I99" s="665" t="s">
        <v>83</v>
      </c>
      <c r="J99" s="666">
        <v>1738</v>
      </c>
      <c r="K99" s="667">
        <f t="shared" si="1"/>
        <v>1585479074</v>
      </c>
      <c r="L99" s="667">
        <v>0</v>
      </c>
      <c r="M99" s="667">
        <v>1585479074</v>
      </c>
      <c r="N99" s="667">
        <v>0</v>
      </c>
      <c r="O99" s="667">
        <v>0</v>
      </c>
      <c r="P99" s="667">
        <v>0</v>
      </c>
      <c r="Q99" s="1618">
        <v>0</v>
      </c>
      <c r="R99" s="1618"/>
      <c r="S99" s="667">
        <v>0</v>
      </c>
      <c r="T99" s="667">
        <v>0</v>
      </c>
      <c r="U99" s="668">
        <v>0</v>
      </c>
    </row>
    <row r="100" spans="1:21" ht="36" customHeight="1">
      <c r="A100" s="2"/>
      <c r="B100" s="2"/>
      <c r="C100" s="662" t="s">
        <v>179</v>
      </c>
      <c r="D100" s="663" t="s">
        <v>147</v>
      </c>
      <c r="E100" s="664" t="s">
        <v>148</v>
      </c>
      <c r="F100" s="669" t="s">
        <v>199</v>
      </c>
      <c r="G100" s="670" t="s">
        <v>250</v>
      </c>
      <c r="H100" s="670" t="s">
        <v>250</v>
      </c>
      <c r="I100" s="665" t="s">
        <v>81</v>
      </c>
      <c r="J100" s="666">
        <v>1</v>
      </c>
      <c r="K100" s="667">
        <f t="shared" si="1"/>
        <v>1622836906</v>
      </c>
      <c r="L100" s="667">
        <v>0</v>
      </c>
      <c r="M100" s="667">
        <v>1622836906</v>
      </c>
      <c r="N100" s="667">
        <v>0</v>
      </c>
      <c r="O100" s="667">
        <v>0</v>
      </c>
      <c r="P100" s="667">
        <v>0</v>
      </c>
      <c r="Q100" s="1618">
        <v>0</v>
      </c>
      <c r="R100" s="1618"/>
      <c r="S100" s="667">
        <v>0</v>
      </c>
      <c r="T100" s="667">
        <v>0</v>
      </c>
      <c r="U100" s="668">
        <v>0</v>
      </c>
    </row>
    <row r="101" spans="1:21" ht="36" customHeight="1">
      <c r="A101" s="2"/>
      <c r="B101" s="2"/>
      <c r="C101" s="662" t="s">
        <v>179</v>
      </c>
      <c r="D101" s="663" t="s">
        <v>147</v>
      </c>
      <c r="E101" s="664" t="s">
        <v>148</v>
      </c>
      <c r="F101" s="669" t="s">
        <v>199</v>
      </c>
      <c r="G101" s="670" t="s">
        <v>250</v>
      </c>
      <c r="H101" s="670" t="s">
        <v>250</v>
      </c>
      <c r="I101" s="665" t="s">
        <v>82</v>
      </c>
      <c r="J101" s="666">
        <v>1</v>
      </c>
      <c r="K101" s="667">
        <f t="shared" si="1"/>
        <v>1622836906</v>
      </c>
      <c r="L101" s="667">
        <v>0</v>
      </c>
      <c r="M101" s="667">
        <v>1622836906</v>
      </c>
      <c r="N101" s="667">
        <v>0</v>
      </c>
      <c r="O101" s="667">
        <v>0</v>
      </c>
      <c r="P101" s="667">
        <v>0</v>
      </c>
      <c r="Q101" s="1618">
        <v>0</v>
      </c>
      <c r="R101" s="1618"/>
      <c r="S101" s="667">
        <v>0</v>
      </c>
      <c r="T101" s="667">
        <v>0</v>
      </c>
      <c r="U101" s="668">
        <v>0</v>
      </c>
    </row>
    <row r="102" spans="1:21" ht="36" customHeight="1">
      <c r="A102" s="2"/>
      <c r="B102" s="2"/>
      <c r="C102" s="662" t="s">
        <v>179</v>
      </c>
      <c r="D102" s="663" t="s">
        <v>147</v>
      </c>
      <c r="E102" s="664" t="s">
        <v>148</v>
      </c>
      <c r="F102" s="669" t="s">
        <v>199</v>
      </c>
      <c r="G102" s="670" t="s">
        <v>250</v>
      </c>
      <c r="H102" s="670" t="s">
        <v>250</v>
      </c>
      <c r="I102" s="665" t="s">
        <v>83</v>
      </c>
      <c r="J102" s="666">
        <v>0</v>
      </c>
      <c r="K102" s="667">
        <f t="shared" si="1"/>
        <v>0</v>
      </c>
      <c r="L102" s="667">
        <v>0</v>
      </c>
      <c r="M102" s="667">
        <v>0</v>
      </c>
      <c r="N102" s="667">
        <v>0</v>
      </c>
      <c r="O102" s="667">
        <v>0</v>
      </c>
      <c r="P102" s="667">
        <v>0</v>
      </c>
      <c r="Q102" s="1618">
        <v>0</v>
      </c>
      <c r="R102" s="1618"/>
      <c r="S102" s="667">
        <v>0</v>
      </c>
      <c r="T102" s="667">
        <v>0</v>
      </c>
      <c r="U102" s="668">
        <v>0</v>
      </c>
    </row>
    <row r="103" spans="1:21" ht="36" customHeight="1">
      <c r="A103" s="2"/>
      <c r="B103" s="2"/>
      <c r="C103" s="662" t="s">
        <v>179</v>
      </c>
      <c r="D103" s="663" t="s">
        <v>147</v>
      </c>
      <c r="E103" s="664" t="s">
        <v>148</v>
      </c>
      <c r="F103" s="669" t="s">
        <v>202</v>
      </c>
      <c r="G103" s="670" t="s">
        <v>251</v>
      </c>
      <c r="H103" s="670" t="s">
        <v>251</v>
      </c>
      <c r="I103" s="665" t="s">
        <v>81</v>
      </c>
      <c r="J103" s="666">
        <v>1000</v>
      </c>
      <c r="K103" s="667">
        <f t="shared" si="1"/>
        <v>80000000</v>
      </c>
      <c r="L103" s="667">
        <v>0</v>
      </c>
      <c r="M103" s="667">
        <v>80000000</v>
      </c>
      <c r="N103" s="667">
        <v>0</v>
      </c>
      <c r="O103" s="667">
        <v>0</v>
      </c>
      <c r="P103" s="667">
        <v>0</v>
      </c>
      <c r="Q103" s="1618">
        <v>0</v>
      </c>
      <c r="R103" s="1618"/>
      <c r="S103" s="667">
        <v>0</v>
      </c>
      <c r="T103" s="667">
        <v>0</v>
      </c>
      <c r="U103" s="668">
        <v>0</v>
      </c>
    </row>
    <row r="104" spans="1:21" ht="36" customHeight="1">
      <c r="A104" s="2"/>
      <c r="B104" s="2"/>
      <c r="C104" s="662" t="s">
        <v>179</v>
      </c>
      <c r="D104" s="663" t="s">
        <v>147</v>
      </c>
      <c r="E104" s="664" t="s">
        <v>148</v>
      </c>
      <c r="F104" s="669" t="s">
        <v>202</v>
      </c>
      <c r="G104" s="670" t="s">
        <v>251</v>
      </c>
      <c r="H104" s="670" t="s">
        <v>251</v>
      </c>
      <c r="I104" s="665" t="s">
        <v>82</v>
      </c>
      <c r="J104" s="666">
        <v>1000</v>
      </c>
      <c r="K104" s="667">
        <f t="shared" si="1"/>
        <v>80000000</v>
      </c>
      <c r="L104" s="667">
        <v>0</v>
      </c>
      <c r="M104" s="667">
        <v>80000000</v>
      </c>
      <c r="N104" s="667">
        <v>0</v>
      </c>
      <c r="O104" s="667">
        <v>0</v>
      </c>
      <c r="P104" s="667">
        <v>0</v>
      </c>
      <c r="Q104" s="1618">
        <v>0</v>
      </c>
      <c r="R104" s="1618"/>
      <c r="S104" s="667">
        <v>0</v>
      </c>
      <c r="T104" s="667">
        <v>0</v>
      </c>
      <c r="U104" s="668">
        <v>0</v>
      </c>
    </row>
    <row r="105" spans="1:21" ht="36" customHeight="1">
      <c r="A105" s="2"/>
      <c r="B105" s="2"/>
      <c r="C105" s="662" t="s">
        <v>179</v>
      </c>
      <c r="D105" s="663" t="s">
        <v>147</v>
      </c>
      <c r="E105" s="664" t="s">
        <v>148</v>
      </c>
      <c r="F105" s="669" t="s">
        <v>202</v>
      </c>
      <c r="G105" s="670" t="s">
        <v>251</v>
      </c>
      <c r="H105" s="670" t="s">
        <v>251</v>
      </c>
      <c r="I105" s="665" t="s">
        <v>83</v>
      </c>
      <c r="J105" s="666">
        <v>0</v>
      </c>
      <c r="K105" s="667">
        <f t="shared" si="1"/>
        <v>0</v>
      </c>
      <c r="L105" s="667">
        <v>0</v>
      </c>
      <c r="M105" s="667">
        <v>0</v>
      </c>
      <c r="N105" s="667">
        <v>0</v>
      </c>
      <c r="O105" s="667">
        <v>0</v>
      </c>
      <c r="P105" s="667">
        <v>0</v>
      </c>
      <c r="Q105" s="1618">
        <v>0</v>
      </c>
      <c r="R105" s="1618"/>
      <c r="S105" s="667">
        <v>0</v>
      </c>
      <c r="T105" s="667">
        <v>0</v>
      </c>
      <c r="U105" s="668">
        <v>0</v>
      </c>
    </row>
    <row r="106" spans="1:21" ht="36" customHeight="1">
      <c r="A106" s="2"/>
      <c r="B106" s="2"/>
      <c r="C106" s="662" t="s">
        <v>179</v>
      </c>
      <c r="D106" s="663" t="s">
        <v>147</v>
      </c>
      <c r="E106" s="664" t="s">
        <v>148</v>
      </c>
      <c r="F106" s="669" t="s">
        <v>203</v>
      </c>
      <c r="G106" s="670" t="s">
        <v>252</v>
      </c>
      <c r="H106" s="664"/>
      <c r="I106" s="665" t="s">
        <v>81</v>
      </c>
      <c r="J106" s="666">
        <v>903</v>
      </c>
      <c r="K106" s="667">
        <f t="shared" si="1"/>
        <v>29591000</v>
      </c>
      <c r="L106" s="667">
        <v>0</v>
      </c>
      <c r="M106" s="667">
        <v>29591000</v>
      </c>
      <c r="N106" s="667">
        <v>0</v>
      </c>
      <c r="O106" s="667">
        <v>0</v>
      </c>
      <c r="P106" s="667">
        <v>0</v>
      </c>
      <c r="Q106" s="1618">
        <v>0</v>
      </c>
      <c r="R106" s="1618"/>
      <c r="S106" s="667">
        <v>0</v>
      </c>
      <c r="T106" s="667">
        <v>0</v>
      </c>
      <c r="U106" s="668">
        <v>0</v>
      </c>
    </row>
    <row r="107" spans="1:21" ht="36" customHeight="1">
      <c r="A107" s="2"/>
      <c r="B107" s="2"/>
      <c r="C107" s="662" t="s">
        <v>179</v>
      </c>
      <c r="D107" s="663" t="s">
        <v>147</v>
      </c>
      <c r="E107" s="664" t="s">
        <v>148</v>
      </c>
      <c r="F107" s="669" t="s">
        <v>203</v>
      </c>
      <c r="G107" s="670" t="s">
        <v>252</v>
      </c>
      <c r="H107" s="664"/>
      <c r="I107" s="665" t="s">
        <v>82</v>
      </c>
      <c r="J107" s="666">
        <v>903</v>
      </c>
      <c r="K107" s="667">
        <f t="shared" si="1"/>
        <v>29591000</v>
      </c>
      <c r="L107" s="667">
        <v>0</v>
      </c>
      <c r="M107" s="667">
        <v>29591000</v>
      </c>
      <c r="N107" s="667">
        <v>0</v>
      </c>
      <c r="O107" s="667">
        <v>0</v>
      </c>
      <c r="P107" s="667">
        <v>0</v>
      </c>
      <c r="Q107" s="1618">
        <v>0</v>
      </c>
      <c r="R107" s="1618"/>
      <c r="S107" s="667">
        <v>0</v>
      </c>
      <c r="T107" s="667">
        <v>0</v>
      </c>
      <c r="U107" s="668">
        <v>0</v>
      </c>
    </row>
    <row r="108" spans="1:21" ht="36" customHeight="1">
      <c r="A108" s="2"/>
      <c r="B108" s="2"/>
      <c r="C108" s="662" t="s">
        <v>179</v>
      </c>
      <c r="D108" s="663" t="s">
        <v>147</v>
      </c>
      <c r="E108" s="664" t="s">
        <v>148</v>
      </c>
      <c r="F108" s="669" t="s">
        <v>203</v>
      </c>
      <c r="G108" s="670" t="s">
        <v>252</v>
      </c>
      <c r="H108" s="664"/>
      <c r="I108" s="665" t="s">
        <v>83</v>
      </c>
      <c r="J108" s="666">
        <v>72</v>
      </c>
      <c r="K108" s="667">
        <f t="shared" si="1"/>
        <v>2361480</v>
      </c>
      <c r="L108" s="667">
        <v>0</v>
      </c>
      <c r="M108" s="667">
        <v>2361480</v>
      </c>
      <c r="N108" s="667">
        <v>0</v>
      </c>
      <c r="O108" s="667">
        <v>0</v>
      </c>
      <c r="P108" s="667">
        <v>0</v>
      </c>
      <c r="Q108" s="1618">
        <v>0</v>
      </c>
      <c r="R108" s="1618"/>
      <c r="S108" s="667">
        <v>0</v>
      </c>
      <c r="T108" s="667">
        <v>0</v>
      </c>
      <c r="U108" s="668">
        <v>0</v>
      </c>
    </row>
    <row r="109" spans="1:21" ht="36" customHeight="1">
      <c r="A109" s="2"/>
      <c r="B109" s="2"/>
      <c r="C109" s="662" t="s">
        <v>179</v>
      </c>
      <c r="D109" s="663" t="s">
        <v>147</v>
      </c>
      <c r="E109" s="664" t="s">
        <v>148</v>
      </c>
      <c r="F109" s="669" t="s">
        <v>204</v>
      </c>
      <c r="G109" s="670" t="s">
        <v>205</v>
      </c>
      <c r="H109" s="664"/>
      <c r="I109" s="665" t="s">
        <v>81</v>
      </c>
      <c r="J109" s="666">
        <v>1</v>
      </c>
      <c r="K109" s="667">
        <f t="shared" si="1"/>
        <v>360000000</v>
      </c>
      <c r="L109" s="667">
        <v>0</v>
      </c>
      <c r="M109" s="667">
        <v>360000000</v>
      </c>
      <c r="N109" s="667">
        <v>0</v>
      </c>
      <c r="O109" s="667">
        <v>0</v>
      </c>
      <c r="P109" s="667">
        <v>0</v>
      </c>
      <c r="Q109" s="1618">
        <v>0</v>
      </c>
      <c r="R109" s="1618"/>
      <c r="S109" s="667">
        <v>0</v>
      </c>
      <c r="T109" s="667">
        <v>0</v>
      </c>
      <c r="U109" s="668">
        <v>0</v>
      </c>
    </row>
    <row r="110" spans="1:21" ht="36" customHeight="1">
      <c r="A110" s="2"/>
      <c r="B110" s="2"/>
      <c r="C110" s="662" t="s">
        <v>179</v>
      </c>
      <c r="D110" s="663" t="s">
        <v>147</v>
      </c>
      <c r="E110" s="664" t="s">
        <v>148</v>
      </c>
      <c r="F110" s="669" t="s">
        <v>204</v>
      </c>
      <c r="G110" s="670" t="s">
        <v>205</v>
      </c>
      <c r="H110" s="664"/>
      <c r="I110" s="665" t="s">
        <v>82</v>
      </c>
      <c r="J110" s="666">
        <v>1</v>
      </c>
      <c r="K110" s="667">
        <f t="shared" si="1"/>
        <v>360000000</v>
      </c>
      <c r="L110" s="667">
        <v>0</v>
      </c>
      <c r="M110" s="667">
        <v>360000000</v>
      </c>
      <c r="N110" s="667">
        <v>0</v>
      </c>
      <c r="O110" s="667">
        <v>0</v>
      </c>
      <c r="P110" s="667">
        <v>0</v>
      </c>
      <c r="Q110" s="1618">
        <v>0</v>
      </c>
      <c r="R110" s="1618"/>
      <c r="S110" s="667">
        <v>0</v>
      </c>
      <c r="T110" s="667">
        <v>0</v>
      </c>
      <c r="U110" s="668">
        <v>0</v>
      </c>
    </row>
    <row r="111" spans="1:21" ht="36" customHeight="1">
      <c r="A111" s="2"/>
      <c r="B111" s="2"/>
      <c r="C111" s="662" t="s">
        <v>179</v>
      </c>
      <c r="D111" s="663" t="s">
        <v>147</v>
      </c>
      <c r="E111" s="664" t="s">
        <v>148</v>
      </c>
      <c r="F111" s="669" t="s">
        <v>204</v>
      </c>
      <c r="G111" s="670" t="s">
        <v>205</v>
      </c>
      <c r="H111" s="664"/>
      <c r="I111" s="665" t="s">
        <v>83</v>
      </c>
      <c r="J111" s="666">
        <v>0</v>
      </c>
      <c r="K111" s="667">
        <f t="shared" si="1"/>
        <v>0</v>
      </c>
      <c r="L111" s="667">
        <v>0</v>
      </c>
      <c r="M111" s="667">
        <v>0</v>
      </c>
      <c r="N111" s="667">
        <v>0</v>
      </c>
      <c r="O111" s="667">
        <v>0</v>
      </c>
      <c r="P111" s="667">
        <v>0</v>
      </c>
      <c r="Q111" s="1618">
        <v>0</v>
      </c>
      <c r="R111" s="1618"/>
      <c r="S111" s="667">
        <v>0</v>
      </c>
      <c r="T111" s="667">
        <v>0</v>
      </c>
      <c r="U111" s="668">
        <v>0</v>
      </c>
    </row>
    <row r="112" spans="1:21" ht="36" customHeight="1">
      <c r="A112" s="2"/>
      <c r="B112" s="2"/>
      <c r="C112" s="662" t="s">
        <v>179</v>
      </c>
      <c r="D112" s="663" t="s">
        <v>147</v>
      </c>
      <c r="E112" s="664" t="s">
        <v>148</v>
      </c>
      <c r="F112" s="669" t="s">
        <v>206</v>
      </c>
      <c r="G112" s="670" t="s">
        <v>207</v>
      </c>
      <c r="H112" s="672"/>
      <c r="I112" s="665" t="s">
        <v>81</v>
      </c>
      <c r="J112" s="666">
        <v>3</v>
      </c>
      <c r="K112" s="667">
        <f t="shared" si="1"/>
        <v>1520475000</v>
      </c>
      <c r="L112" s="667">
        <v>0</v>
      </c>
      <c r="M112" s="667">
        <v>1520475000</v>
      </c>
      <c r="N112" s="667">
        <v>0</v>
      </c>
      <c r="O112" s="667">
        <v>0</v>
      </c>
      <c r="P112" s="667">
        <v>0</v>
      </c>
      <c r="Q112" s="1618">
        <v>0</v>
      </c>
      <c r="R112" s="1618"/>
      <c r="S112" s="667">
        <v>0</v>
      </c>
      <c r="T112" s="667">
        <v>0</v>
      </c>
      <c r="U112" s="668">
        <v>0</v>
      </c>
    </row>
    <row r="113" spans="1:21" ht="36" customHeight="1">
      <c r="A113" s="2"/>
      <c r="B113" s="2"/>
      <c r="C113" s="662" t="s">
        <v>179</v>
      </c>
      <c r="D113" s="663" t="s">
        <v>147</v>
      </c>
      <c r="E113" s="664" t="s">
        <v>148</v>
      </c>
      <c r="F113" s="669" t="s">
        <v>206</v>
      </c>
      <c r="G113" s="670" t="s">
        <v>207</v>
      </c>
      <c r="H113" s="672"/>
      <c r="I113" s="665" t="s">
        <v>82</v>
      </c>
      <c r="J113" s="666">
        <v>3</v>
      </c>
      <c r="K113" s="667">
        <f t="shared" si="1"/>
        <v>1520475000</v>
      </c>
      <c r="L113" s="667">
        <v>0</v>
      </c>
      <c r="M113" s="667">
        <v>1520475000</v>
      </c>
      <c r="N113" s="667">
        <v>0</v>
      </c>
      <c r="O113" s="667">
        <v>0</v>
      </c>
      <c r="P113" s="667">
        <v>0</v>
      </c>
      <c r="Q113" s="1618">
        <v>0</v>
      </c>
      <c r="R113" s="1618"/>
      <c r="S113" s="667">
        <v>0</v>
      </c>
      <c r="T113" s="667">
        <v>0</v>
      </c>
      <c r="U113" s="668">
        <v>0</v>
      </c>
    </row>
    <row r="114" spans="1:21" ht="36" customHeight="1">
      <c r="A114" s="2"/>
      <c r="B114" s="2"/>
      <c r="C114" s="662" t="s">
        <v>179</v>
      </c>
      <c r="D114" s="663" t="s">
        <v>147</v>
      </c>
      <c r="E114" s="664" t="s">
        <v>148</v>
      </c>
      <c r="F114" s="669" t="s">
        <v>206</v>
      </c>
      <c r="G114" s="670" t="s">
        <v>207</v>
      </c>
      <c r="H114" s="672"/>
      <c r="I114" s="665" t="s">
        <v>83</v>
      </c>
      <c r="J114" s="666">
        <v>1</v>
      </c>
      <c r="K114" s="667">
        <f t="shared" si="1"/>
        <v>506825000</v>
      </c>
      <c r="L114" s="667">
        <v>0</v>
      </c>
      <c r="M114" s="667">
        <v>506825000</v>
      </c>
      <c r="N114" s="667">
        <v>0</v>
      </c>
      <c r="O114" s="667">
        <v>0</v>
      </c>
      <c r="P114" s="667">
        <v>0</v>
      </c>
      <c r="Q114" s="1618">
        <v>0</v>
      </c>
      <c r="R114" s="1618"/>
      <c r="S114" s="667">
        <v>0</v>
      </c>
      <c r="T114" s="667">
        <v>0</v>
      </c>
      <c r="U114" s="668">
        <v>0</v>
      </c>
    </row>
    <row r="115" spans="1:21" ht="36" customHeight="1">
      <c r="A115" s="2"/>
      <c r="B115" s="2"/>
      <c r="C115" s="662" t="s">
        <v>179</v>
      </c>
      <c r="D115" s="663" t="s">
        <v>147</v>
      </c>
      <c r="E115" s="664" t="s">
        <v>148</v>
      </c>
      <c r="F115" s="669" t="s">
        <v>703</v>
      </c>
      <c r="G115" s="670" t="s">
        <v>704</v>
      </c>
      <c r="H115" s="670" t="s">
        <v>704</v>
      </c>
      <c r="I115" s="665" t="s">
        <v>81</v>
      </c>
      <c r="J115" s="666">
        <v>500</v>
      </c>
      <c r="K115" s="667">
        <f t="shared" si="1"/>
        <v>20000000</v>
      </c>
      <c r="L115" s="667">
        <v>0</v>
      </c>
      <c r="M115" s="667">
        <v>20000000</v>
      </c>
      <c r="N115" s="667">
        <v>0</v>
      </c>
      <c r="O115" s="667">
        <v>0</v>
      </c>
      <c r="P115" s="667">
        <v>0</v>
      </c>
      <c r="Q115" s="1634">
        <v>0</v>
      </c>
      <c r="R115" s="1635"/>
      <c r="S115" s="667">
        <v>0</v>
      </c>
      <c r="T115" s="667">
        <v>0</v>
      </c>
      <c r="U115" s="668">
        <v>0</v>
      </c>
    </row>
    <row r="116" spans="1:21" ht="36" customHeight="1">
      <c r="A116" s="2"/>
      <c r="B116" s="2"/>
      <c r="C116" s="662" t="s">
        <v>179</v>
      </c>
      <c r="D116" s="663" t="s">
        <v>147</v>
      </c>
      <c r="E116" s="664" t="s">
        <v>148</v>
      </c>
      <c r="F116" s="669" t="s">
        <v>703</v>
      </c>
      <c r="G116" s="670" t="s">
        <v>704</v>
      </c>
      <c r="H116" s="670" t="s">
        <v>704</v>
      </c>
      <c r="I116" s="665" t="s">
        <v>82</v>
      </c>
      <c r="J116" s="666">
        <v>500</v>
      </c>
      <c r="K116" s="667">
        <f t="shared" si="1"/>
        <v>20000000</v>
      </c>
      <c r="L116" s="667">
        <v>0</v>
      </c>
      <c r="M116" s="667">
        <v>20000000</v>
      </c>
      <c r="N116" s="667">
        <v>0</v>
      </c>
      <c r="O116" s="667">
        <v>0</v>
      </c>
      <c r="P116" s="667">
        <v>0</v>
      </c>
      <c r="Q116" s="1618">
        <v>0</v>
      </c>
      <c r="R116" s="1618"/>
      <c r="S116" s="667">
        <v>0</v>
      </c>
      <c r="T116" s="667">
        <v>0</v>
      </c>
      <c r="U116" s="668">
        <v>0</v>
      </c>
    </row>
    <row r="117" spans="1:21" ht="36" customHeight="1">
      <c r="A117" s="2"/>
      <c r="B117" s="2"/>
      <c r="C117" s="662" t="s">
        <v>179</v>
      </c>
      <c r="D117" s="663" t="s">
        <v>147</v>
      </c>
      <c r="E117" s="664" t="s">
        <v>148</v>
      </c>
      <c r="F117" s="669" t="s">
        <v>703</v>
      </c>
      <c r="G117" s="670" t="s">
        <v>704</v>
      </c>
      <c r="H117" s="670" t="s">
        <v>704</v>
      </c>
      <c r="I117" s="665" t="s">
        <v>83</v>
      </c>
      <c r="J117" s="666">
        <v>0</v>
      </c>
      <c r="K117" s="667">
        <f t="shared" si="1"/>
        <v>0</v>
      </c>
      <c r="L117" s="667">
        <v>0</v>
      </c>
      <c r="M117" s="667">
        <v>0</v>
      </c>
      <c r="N117" s="667">
        <v>0</v>
      </c>
      <c r="O117" s="667">
        <v>0</v>
      </c>
      <c r="P117" s="667">
        <v>0</v>
      </c>
      <c r="Q117" s="1618">
        <v>0</v>
      </c>
      <c r="R117" s="1618"/>
      <c r="S117" s="667">
        <v>0</v>
      </c>
      <c r="T117" s="667">
        <v>0</v>
      </c>
      <c r="U117" s="668">
        <v>0</v>
      </c>
    </row>
    <row r="118" spans="1:21" ht="36" customHeight="1">
      <c r="A118" s="2"/>
      <c r="B118" s="2"/>
      <c r="C118" s="662" t="s">
        <v>179</v>
      </c>
      <c r="D118" s="663" t="s">
        <v>147</v>
      </c>
      <c r="E118" s="664" t="s">
        <v>148</v>
      </c>
      <c r="F118" s="669" t="s">
        <v>705</v>
      </c>
      <c r="G118" s="670" t="s">
        <v>565</v>
      </c>
      <c r="H118" s="670" t="s">
        <v>565</v>
      </c>
      <c r="I118" s="665" t="s">
        <v>81</v>
      </c>
      <c r="J118" s="666">
        <v>312</v>
      </c>
      <c r="K118" s="667">
        <f t="shared" si="1"/>
        <v>6000000</v>
      </c>
      <c r="L118" s="667">
        <v>0</v>
      </c>
      <c r="M118" s="667">
        <v>6000000</v>
      </c>
      <c r="N118" s="667">
        <v>0</v>
      </c>
      <c r="O118" s="667">
        <v>0</v>
      </c>
      <c r="P118" s="667">
        <v>0</v>
      </c>
      <c r="Q118" s="1618">
        <v>0</v>
      </c>
      <c r="R118" s="1618"/>
      <c r="S118" s="667">
        <v>0</v>
      </c>
      <c r="T118" s="667">
        <v>0</v>
      </c>
      <c r="U118" s="668">
        <v>0</v>
      </c>
    </row>
    <row r="119" spans="1:21" ht="36" customHeight="1">
      <c r="A119" s="2"/>
      <c r="B119" s="2"/>
      <c r="C119" s="662" t="s">
        <v>179</v>
      </c>
      <c r="D119" s="663" t="s">
        <v>147</v>
      </c>
      <c r="E119" s="664" t="s">
        <v>148</v>
      </c>
      <c r="F119" s="669" t="s">
        <v>705</v>
      </c>
      <c r="G119" s="670" t="s">
        <v>565</v>
      </c>
      <c r="H119" s="670" t="s">
        <v>565</v>
      </c>
      <c r="I119" s="665" t="s">
        <v>82</v>
      </c>
      <c r="J119" s="666">
        <v>312</v>
      </c>
      <c r="K119" s="667">
        <f t="shared" si="1"/>
        <v>6000000</v>
      </c>
      <c r="L119" s="667">
        <v>0</v>
      </c>
      <c r="M119" s="667">
        <v>6000000</v>
      </c>
      <c r="N119" s="667">
        <v>0</v>
      </c>
      <c r="O119" s="667">
        <v>0</v>
      </c>
      <c r="P119" s="667">
        <v>0</v>
      </c>
      <c r="Q119" s="1618">
        <v>0</v>
      </c>
      <c r="R119" s="1618"/>
      <c r="S119" s="667">
        <v>0</v>
      </c>
      <c r="T119" s="667">
        <v>0</v>
      </c>
      <c r="U119" s="668">
        <v>0</v>
      </c>
    </row>
    <row r="120" spans="1:21" ht="36" customHeight="1">
      <c r="A120" s="2"/>
      <c r="B120" s="2"/>
      <c r="C120" s="662" t="s">
        <v>179</v>
      </c>
      <c r="D120" s="663" t="s">
        <v>147</v>
      </c>
      <c r="E120" s="664" t="s">
        <v>148</v>
      </c>
      <c r="F120" s="669" t="s">
        <v>705</v>
      </c>
      <c r="G120" s="670" t="s">
        <v>565</v>
      </c>
      <c r="H120" s="670" t="s">
        <v>565</v>
      </c>
      <c r="I120" s="665" t="s">
        <v>83</v>
      </c>
      <c r="J120" s="666">
        <v>0</v>
      </c>
      <c r="K120" s="667">
        <f t="shared" si="1"/>
        <v>0</v>
      </c>
      <c r="L120" s="667">
        <v>0</v>
      </c>
      <c r="M120" s="667">
        <v>0</v>
      </c>
      <c r="N120" s="667">
        <v>0</v>
      </c>
      <c r="O120" s="667">
        <v>0</v>
      </c>
      <c r="P120" s="667">
        <v>0</v>
      </c>
      <c r="Q120" s="1618">
        <v>0</v>
      </c>
      <c r="R120" s="1618"/>
      <c r="S120" s="667">
        <v>0</v>
      </c>
      <c r="T120" s="667">
        <v>0</v>
      </c>
      <c r="U120" s="668">
        <v>0</v>
      </c>
    </row>
    <row r="121" spans="1:21" ht="36" customHeight="1">
      <c r="A121" s="2"/>
      <c r="B121" s="2"/>
      <c r="C121" s="662" t="s">
        <v>179</v>
      </c>
      <c r="D121" s="663" t="s">
        <v>147</v>
      </c>
      <c r="E121" s="664" t="s">
        <v>148</v>
      </c>
      <c r="F121" s="663"/>
      <c r="G121" s="1617" t="s">
        <v>714</v>
      </c>
      <c r="H121" s="1617"/>
      <c r="I121" s="665" t="s">
        <v>81</v>
      </c>
      <c r="J121" s="666"/>
      <c r="K121" s="667">
        <f>(L121+M121+N121+O121+P121+Q121+S121+T121+U121)+11000000000</f>
        <v>31391874000</v>
      </c>
      <c r="L121" s="667">
        <f>L7+L10+L13+L16+L19+L22+L25+L28+L31+L48+L49+L52+L55+L58+L61+L64+L67+L70+L73+L76+L82+L85+L88+L91+L94+L97+L100+L103+L115+L118</f>
        <v>0</v>
      </c>
      <c r="M121" s="667">
        <f>M19+M22+M25+M28+M31+M34+M37+M40+M43+M46+M49+M52+M55+M58+M61+M64+M67+M70+M73+M76+M79+M82+M85+M88+M91+M94+M97+M100+M103+M106+M109+M112+M115+M118</f>
        <v>10661500000</v>
      </c>
      <c r="N121" s="667">
        <f>N7+N10+N13+N16+N19+N22+N25+N28+N31+N48+N49+N52+N55+N58+N61+N64+N67+N70+N73+N76+N79+N82+N85+N88+N91+N94+N97+N100+N103+N106+N109+N112+N115+N118</f>
        <v>4974568000</v>
      </c>
      <c r="O121" s="667">
        <f>O7+O10+O13+O16+O19+O22+O25+O28+O31+O48+O49+O52+O55+O58+O61+O64+O67+O70+O73+O76+O79+O82+O85+O88+O91+O94+O97+O100+O103+O106+O109+O112+O115+O118</f>
        <v>892730000</v>
      </c>
      <c r="P121" s="667">
        <f>P7+P10+P13+P16+P19+P22+P25+P28+P31+P48+P49+P52+P55+P58+P61+P64+P67+P70+P73+P76+P79+P82+P85+P88+P91+P94+P97+P100+P103+P106+P109+P112+P115+P118</f>
        <v>3823076000</v>
      </c>
      <c r="Q121" s="1632">
        <f>Q7+Q10+Q13+Q16+Q19+Q22+Q25+Q28+Q31+Q48+Q49+Q52+Q55+Q58+Q61+Q64+Q67+Q70+Q73+Q76+Q82+Q85+Q88+Q91+Q94+Q97+Q100+Q103+Q115+Q118</f>
        <v>0</v>
      </c>
      <c r="R121" s="1633" t="e">
        <f>R7+R10+R13+R16+R19+R22+#REF!+R25+R28+R31+R48+#REF!+R49+R52+R55+R58+R61+R64+R67+R70+R73+R76+R82+R85+R88+R91+R94+#REF!+R97+R100+R103+R115+R118+#REF!</f>
        <v>#REF!</v>
      </c>
      <c r="S121" s="673">
        <f>S7+S10+S13+S16+S19+S22+S25+S28+S31+S48+S49+S52+S55+S58+S61+S64+S67+S70+S73+S76+S82+S85+S88+S91+S94+S97+S100+S103+S115+S118</f>
        <v>0</v>
      </c>
      <c r="T121" s="674">
        <f>T7+T10+T13+T16+T19+T22+T25+T28+T31+T48+T49+T52+T55+T58+T61+T64+T67+T70+T73+T76+T82+T85+T88+T91+T94+T97+T100+T103+T115+T118</f>
        <v>0</v>
      </c>
      <c r="U121" s="668">
        <f>U7+U10+U13+U16+U19+U22+U25+U28+U31+U48+U49+U52+U55+U58+U61+U64+U67+U70+U73+U76+U82+U85+U88+U91+U94+U97+U100+U103+U115+U118</f>
        <v>40000000</v>
      </c>
    </row>
    <row r="122" spans="1:21" ht="30" customHeight="1">
      <c r="A122" s="2"/>
      <c r="B122" s="2"/>
      <c r="C122" s="662" t="s">
        <v>179</v>
      </c>
      <c r="D122" s="663" t="s">
        <v>147</v>
      </c>
      <c r="E122" s="664" t="s">
        <v>148</v>
      </c>
      <c r="F122" s="663"/>
      <c r="G122" s="1617" t="s">
        <v>714</v>
      </c>
      <c r="H122" s="1617"/>
      <c r="I122" s="665" t="s">
        <v>82</v>
      </c>
      <c r="J122" s="666"/>
      <c r="K122" s="667">
        <f>(L122+M122+N122+O122+P122+Q122+S122+T122+U122)+11000000000</f>
        <v>31391874000</v>
      </c>
      <c r="L122" s="667">
        <f>L8+L11+L14+L17+L20+L23+L26+L29+L46+L50+L53+L56+L59+L62+L65+L68+L71+L74+L77+L83+L86+L89+L92+L95+L98+L101+L104+L116+L119</f>
        <v>0</v>
      </c>
      <c r="M122" s="667">
        <f>M20+M23+M26+M29+M32+M35+M38+M41+M44+M47+M50+M53+M56+M59+M62+M65+M68+M71+M74+M77+M80+M83+M86+M89+M92+M95+M98+M101+M104+M107+M110+M113+M116+M119</f>
        <v>10661500000</v>
      </c>
      <c r="N122" s="667">
        <f>N8+N11+N14+N17+N20+N23+N26+N29+N46+N50+N53+N56+N59+N62+N65+N68+N71+N74+N77+N80+N83+N86+N89+N92+N95+N98+N101+N104+N107+N110+N113+N116+N119</f>
        <v>4974568000</v>
      </c>
      <c r="O122" s="667">
        <f>O8+O11+O14+O17+O20+O23+O26+O29+O46+O50+O53+O56+O59+O62+O65+O68+O71+O74+O77+O80+O83+O86+O89+O92+O95+O98+O101+O104+O107+O110+O113+O116+O119</f>
        <v>892730000</v>
      </c>
      <c r="P122" s="667">
        <f>P8+P11+P14+P17+P20+P23+P26+P29+P46+P50+P53+P56+P59+P62+P65+P68+P71+P74+P77+P80+P83+P86+P89+P92+P95+P98+P101+P104+P107+P110+P113+P116+P119</f>
        <v>3823076000</v>
      </c>
      <c r="Q122" s="1627">
        <f>Q8+Q11+Q14+Q17+Q20+Q23+Q26+Q29+Q46+Q50+Q53+Q56+Q59+Q62+Q65+Q68+Q71+Q74+Q77+Q83+Q86+Q89+Q92+Q95+Q98+Q101+Q104+Q116+Q119</f>
        <v>0</v>
      </c>
      <c r="R122" s="1628"/>
      <c r="S122" s="675">
        <f t="shared" ref="S122:U123" si="2">S8+S11+S14+S17+S20+S23+S26+S29+S46+S50+S53+S56+S59+S62+S65+S68+S71+S74+S77+S83+S86+S89+S92+S95+S98+S101+S104+S116+S119</f>
        <v>0</v>
      </c>
      <c r="T122" s="675">
        <f t="shared" si="2"/>
        <v>0</v>
      </c>
      <c r="U122" s="676">
        <f t="shared" si="2"/>
        <v>40000000</v>
      </c>
    </row>
    <row r="123" spans="1:21" ht="36" customHeight="1" thickBot="1">
      <c r="A123" s="2"/>
      <c r="B123" s="2"/>
      <c r="C123" s="677" t="s">
        <v>179</v>
      </c>
      <c r="D123" s="678" t="s">
        <v>147</v>
      </c>
      <c r="E123" s="679" t="s">
        <v>148</v>
      </c>
      <c r="F123" s="678"/>
      <c r="G123" s="1629" t="s">
        <v>714</v>
      </c>
      <c r="H123" s="1629"/>
      <c r="I123" s="680" t="s">
        <v>83</v>
      </c>
      <c r="J123" s="681"/>
      <c r="K123" s="682">
        <f t="shared" si="1"/>
        <v>7026304232</v>
      </c>
      <c r="L123" s="682">
        <f>L9+L12+L15+L18+L21+L24+L27+L30+L47+L51+L54+L57+L60+L63+L66+L69+L72+L75+L78+L84+L87+L90+L93+L96+L99+L102+L105+L117+L120</f>
        <v>0</v>
      </c>
      <c r="M123" s="682">
        <f>M21+M24+M27+M30+M33+M36+M39+M42+M45+M48+M51+M54+M57+M60+M63+M66+M69+M72+M75+M78+M81+M84+M87+M90+M93+M96+M99+M102+M105+M108+M111+M114+M117+M120</f>
        <v>3794642711</v>
      </c>
      <c r="N123" s="682">
        <f>N9+N12+N15+N18+N21+N24+N27+N30+N47+N51+N54+N57+N60+N63+N66+N69+N72+N75+N78+N84+N87+N90+N93+N96+N99+N102+N105+N117+N120</f>
        <v>1756549523</v>
      </c>
      <c r="O123" s="682">
        <f>O9+O12+O15+O18+O21+O24+O27+O30+O47+O51+O54+O57+O60+O63+O66+O69+O72+O75+O78+O84+O87+O90+O93+O96+O99+O102+O105+O117+O120</f>
        <v>294310477</v>
      </c>
      <c r="P123" s="682">
        <f>P9+P12+P15+P18+P21+P24+P27+P30+P47+P51+P54+P57+P60+P63+P66+P69+P72+P75+P78+P84+P87+P90+P93+P96+P99+P102+P105+P117+P120</f>
        <v>1165695021</v>
      </c>
      <c r="Q123" s="1630">
        <f>Q9+Q12+Q15+Q18+Q21+Q24+Q27+Q30+Q47+Q51+Q54+Q57+Q60+Q63+Q66+Q69+Q72+Q75+Q78+Q84+Q87+Q90+Q93+Q96+Q99+Q102+Q105+Q117+Q120</f>
        <v>0</v>
      </c>
      <c r="R123" s="1631"/>
      <c r="S123" s="682">
        <f t="shared" si="2"/>
        <v>0</v>
      </c>
      <c r="T123" s="682">
        <f t="shared" si="2"/>
        <v>0</v>
      </c>
      <c r="U123" s="683">
        <f t="shared" si="2"/>
        <v>15106500</v>
      </c>
    </row>
    <row r="124" spans="1:21" ht="18" customHeight="1">
      <c r="A124" s="2"/>
      <c r="B124" s="2"/>
      <c r="C124" s="684"/>
      <c r="D124" s="684"/>
      <c r="E124" s="685"/>
      <c r="F124" s="684"/>
      <c r="G124" s="685"/>
      <c r="H124" s="685"/>
      <c r="I124" s="686"/>
      <c r="J124" s="687"/>
      <c r="K124" s="688"/>
      <c r="L124" s="688"/>
      <c r="M124" s="688"/>
      <c r="N124" s="688"/>
      <c r="O124" s="688"/>
      <c r="P124" s="688"/>
      <c r="Q124" s="689"/>
      <c r="R124" s="689"/>
      <c r="S124" s="688"/>
      <c r="T124" s="688"/>
      <c r="U124" s="688"/>
    </row>
  </sheetData>
  <mergeCells count="194">
    <mergeCell ref="G123:H123"/>
    <mergeCell ref="Q123:R123"/>
    <mergeCell ref="Q119:R119"/>
    <mergeCell ref="Q120:R120"/>
    <mergeCell ref="G121:H121"/>
    <mergeCell ref="Q121:R121"/>
    <mergeCell ref="G122:H122"/>
    <mergeCell ref="Q122:R122"/>
    <mergeCell ref="Q113:R113"/>
    <mergeCell ref="Q114:R114"/>
    <mergeCell ref="Q115:R115"/>
    <mergeCell ref="Q116:R116"/>
    <mergeCell ref="Q117:R117"/>
    <mergeCell ref="Q118:R118"/>
    <mergeCell ref="Q107:R107"/>
    <mergeCell ref="Q108:R108"/>
    <mergeCell ref="Q109:R109"/>
    <mergeCell ref="Q110:R110"/>
    <mergeCell ref="Q111:R111"/>
    <mergeCell ref="Q112:R112"/>
    <mergeCell ref="Q101:R101"/>
    <mergeCell ref="Q102:R102"/>
    <mergeCell ref="Q103:R103"/>
    <mergeCell ref="Q104:R104"/>
    <mergeCell ref="Q105:R105"/>
    <mergeCell ref="Q106:R106"/>
    <mergeCell ref="G96:H96"/>
    <mergeCell ref="Q96:R96"/>
    <mergeCell ref="Q97:R97"/>
    <mergeCell ref="Q98:R98"/>
    <mergeCell ref="Q99:R99"/>
    <mergeCell ref="Q100:R100"/>
    <mergeCell ref="Q91:R91"/>
    <mergeCell ref="Q92:R92"/>
    <mergeCell ref="Q93:R93"/>
    <mergeCell ref="G94:H94"/>
    <mergeCell ref="Q94:R94"/>
    <mergeCell ref="G95:H95"/>
    <mergeCell ref="Q95:R95"/>
    <mergeCell ref="Q85:R85"/>
    <mergeCell ref="Q86:R86"/>
    <mergeCell ref="Q87:R87"/>
    <mergeCell ref="Q88:R88"/>
    <mergeCell ref="Q89:R89"/>
    <mergeCell ref="Q90:R90"/>
    <mergeCell ref="Q79:R79"/>
    <mergeCell ref="Q80:R80"/>
    <mergeCell ref="Q81:R81"/>
    <mergeCell ref="Q82:R82"/>
    <mergeCell ref="Q83:R83"/>
    <mergeCell ref="Q84:R84"/>
    <mergeCell ref="Q73:R73"/>
    <mergeCell ref="Q74:R74"/>
    <mergeCell ref="Q75:R75"/>
    <mergeCell ref="Q76:R76"/>
    <mergeCell ref="Q77:R77"/>
    <mergeCell ref="Q78:R78"/>
    <mergeCell ref="G70:H70"/>
    <mergeCell ref="Q70:R70"/>
    <mergeCell ref="G71:H71"/>
    <mergeCell ref="Q71:R71"/>
    <mergeCell ref="G72:H72"/>
    <mergeCell ref="Q72:R72"/>
    <mergeCell ref="G67:H67"/>
    <mergeCell ref="Q67:R67"/>
    <mergeCell ref="G68:H68"/>
    <mergeCell ref="Q68:R68"/>
    <mergeCell ref="G69:H69"/>
    <mergeCell ref="Q69:R69"/>
    <mergeCell ref="G64:H64"/>
    <mergeCell ref="Q64:R64"/>
    <mergeCell ref="G65:H65"/>
    <mergeCell ref="Q65:R65"/>
    <mergeCell ref="G66:H66"/>
    <mergeCell ref="Q66:R66"/>
    <mergeCell ref="G61:H61"/>
    <mergeCell ref="Q61:R61"/>
    <mergeCell ref="G62:H62"/>
    <mergeCell ref="Q62:R62"/>
    <mergeCell ref="G63:H63"/>
    <mergeCell ref="Q63:R63"/>
    <mergeCell ref="G58:H58"/>
    <mergeCell ref="Q58:R58"/>
    <mergeCell ref="G59:H59"/>
    <mergeCell ref="Q59:R59"/>
    <mergeCell ref="G60:H60"/>
    <mergeCell ref="Q60:R60"/>
    <mergeCell ref="G55:H55"/>
    <mergeCell ref="Q55:R55"/>
    <mergeCell ref="G56:H56"/>
    <mergeCell ref="Q56:R56"/>
    <mergeCell ref="G57:H57"/>
    <mergeCell ref="Q57:R57"/>
    <mergeCell ref="G52:H52"/>
    <mergeCell ref="Q52:R52"/>
    <mergeCell ref="G53:H53"/>
    <mergeCell ref="Q53:R53"/>
    <mergeCell ref="G54:H54"/>
    <mergeCell ref="Q54:R54"/>
    <mergeCell ref="G49:H49"/>
    <mergeCell ref="Q49:R49"/>
    <mergeCell ref="G50:H50"/>
    <mergeCell ref="Q50:R50"/>
    <mergeCell ref="G51:H51"/>
    <mergeCell ref="Q51:R51"/>
    <mergeCell ref="Q45:R45"/>
    <mergeCell ref="G46:H46"/>
    <mergeCell ref="Q46:R46"/>
    <mergeCell ref="G47:H47"/>
    <mergeCell ref="Q47:R47"/>
    <mergeCell ref="G48:H48"/>
    <mergeCell ref="Q48:R48"/>
    <mergeCell ref="G41:H41"/>
    <mergeCell ref="Q41:R41"/>
    <mergeCell ref="G42:H42"/>
    <mergeCell ref="Q42:R42"/>
    <mergeCell ref="Q43:R43"/>
    <mergeCell ref="Q44:R44"/>
    <mergeCell ref="Q36:R36"/>
    <mergeCell ref="Q37:R37"/>
    <mergeCell ref="Q38:R38"/>
    <mergeCell ref="Q39:R39"/>
    <mergeCell ref="G40:H40"/>
    <mergeCell ref="Q40:R40"/>
    <mergeCell ref="G32:H32"/>
    <mergeCell ref="Q32:R32"/>
    <mergeCell ref="G33:H33"/>
    <mergeCell ref="Q33:R33"/>
    <mergeCell ref="Q34:R34"/>
    <mergeCell ref="Q35:R35"/>
    <mergeCell ref="G29:H29"/>
    <mergeCell ref="Q29:R29"/>
    <mergeCell ref="G30:H30"/>
    <mergeCell ref="Q30:R30"/>
    <mergeCell ref="G31:H31"/>
    <mergeCell ref="Q31:R31"/>
    <mergeCell ref="G26:H26"/>
    <mergeCell ref="Q26:R26"/>
    <mergeCell ref="G27:H27"/>
    <mergeCell ref="Q27:R27"/>
    <mergeCell ref="G28:H28"/>
    <mergeCell ref="Q28:R28"/>
    <mergeCell ref="G23:H23"/>
    <mergeCell ref="Q23:R23"/>
    <mergeCell ref="G24:H24"/>
    <mergeCell ref="Q24:R24"/>
    <mergeCell ref="G25:H25"/>
    <mergeCell ref="Q25:R25"/>
    <mergeCell ref="G20:H20"/>
    <mergeCell ref="Q20:R20"/>
    <mergeCell ref="G21:H21"/>
    <mergeCell ref="Q21:R21"/>
    <mergeCell ref="G22:H22"/>
    <mergeCell ref="Q22:R22"/>
    <mergeCell ref="G17:H17"/>
    <mergeCell ref="Q17:R17"/>
    <mergeCell ref="G18:H18"/>
    <mergeCell ref="Q18:R18"/>
    <mergeCell ref="G19:H19"/>
    <mergeCell ref="Q19:R19"/>
    <mergeCell ref="G14:H14"/>
    <mergeCell ref="Q14:R14"/>
    <mergeCell ref="G15:H15"/>
    <mergeCell ref="Q15:R15"/>
    <mergeCell ref="G16:H16"/>
    <mergeCell ref="Q16:R16"/>
    <mergeCell ref="G11:H11"/>
    <mergeCell ref="Q11:R11"/>
    <mergeCell ref="G12:H12"/>
    <mergeCell ref="Q12:R12"/>
    <mergeCell ref="G13:H13"/>
    <mergeCell ref="Q13:R13"/>
    <mergeCell ref="G8:H8"/>
    <mergeCell ref="Q8:R8"/>
    <mergeCell ref="G9:H9"/>
    <mergeCell ref="Q9:R9"/>
    <mergeCell ref="G10:H10"/>
    <mergeCell ref="Q10:R10"/>
    <mergeCell ref="K4:U4"/>
    <mergeCell ref="K5:K6"/>
    <mergeCell ref="Q5:R5"/>
    <mergeCell ref="Q6:R6"/>
    <mergeCell ref="G7:H7"/>
    <mergeCell ref="Q7:R7"/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 tint="0.79998168889431442"/>
  </sheetPr>
  <dimension ref="A2:V221"/>
  <sheetViews>
    <sheetView topLeftCell="G1" workbookViewId="0">
      <selection activeCell="H5" sqref="H5:H7"/>
    </sheetView>
  </sheetViews>
  <sheetFormatPr defaultColWidth="16.28515625" defaultRowHeight="11.25"/>
  <cols>
    <col min="1" max="2" width="7" style="31" hidden="1" customWidth="1"/>
    <col min="3" max="3" width="11.28515625" style="31" hidden="1" customWidth="1"/>
    <col min="4" max="4" width="0" style="31" hidden="1" customWidth="1"/>
    <col min="5" max="5" width="16.28515625" style="31"/>
    <col min="6" max="6" width="60.85546875" style="725" customWidth="1"/>
    <col min="7" max="7" width="16.28515625" style="31"/>
    <col min="8" max="8" width="8.5703125" style="31" customWidth="1"/>
    <col min="9" max="18" width="11.5703125" style="31" customWidth="1"/>
    <col min="19" max="16384" width="16.28515625" style="31"/>
  </cols>
  <sheetData>
    <row r="2" spans="1:22">
      <c r="A2" s="708"/>
      <c r="B2" s="709"/>
      <c r="C2" s="708"/>
      <c r="D2" s="708"/>
      <c r="E2" s="708"/>
      <c r="F2" s="708"/>
      <c r="G2" s="708"/>
      <c r="H2" s="710"/>
      <c r="I2" s="708"/>
      <c r="J2" s="708"/>
      <c r="K2" s="708"/>
      <c r="L2" s="708"/>
      <c r="M2" s="711"/>
      <c r="N2" s="708"/>
      <c r="O2" s="708"/>
      <c r="P2" s="708"/>
      <c r="Q2" s="708"/>
      <c r="R2" s="708"/>
      <c r="S2" s="712"/>
      <c r="T2" s="712"/>
      <c r="U2" s="712"/>
      <c r="V2" s="712"/>
    </row>
    <row r="3" spans="1:22">
      <c r="A3" s="708"/>
      <c r="B3" s="1636" t="s">
        <v>706</v>
      </c>
      <c r="C3" s="1636"/>
      <c r="D3" s="1636"/>
      <c r="E3" s="1636"/>
      <c r="F3" s="1636"/>
      <c r="G3" s="1636"/>
      <c r="H3" s="1636"/>
      <c r="I3" s="1636"/>
      <c r="J3" s="1636"/>
      <c r="K3" s="1636"/>
      <c r="L3" s="1636"/>
      <c r="M3" s="1636"/>
      <c r="N3" s="1636"/>
      <c r="O3" s="1636"/>
      <c r="P3" s="1636"/>
      <c r="Q3" s="1636"/>
      <c r="R3" s="1636"/>
      <c r="S3" s="712"/>
      <c r="T3" s="712"/>
      <c r="U3" s="712"/>
      <c r="V3" s="712"/>
    </row>
    <row r="4" spans="1:22" ht="12" thickBot="1">
      <c r="A4" s="708"/>
      <c r="B4" s="1637" t="s">
        <v>540</v>
      </c>
      <c r="C4" s="1637"/>
      <c r="D4" s="1637"/>
      <c r="E4" s="1637"/>
      <c r="F4" s="1637"/>
      <c r="G4" s="1637"/>
      <c r="H4" s="1637"/>
      <c r="I4" s="1637"/>
      <c r="J4" s="1637"/>
      <c r="K4" s="1637"/>
      <c r="L4" s="1637"/>
      <c r="M4" s="1637"/>
      <c r="N4" s="1637"/>
      <c r="O4" s="1637"/>
      <c r="P4" s="1637"/>
      <c r="Q4" s="1637"/>
      <c r="R4" s="1637"/>
      <c r="S4" s="712"/>
      <c r="T4" s="712"/>
      <c r="U4" s="712"/>
      <c r="V4" s="712"/>
    </row>
    <row r="5" spans="1:22" ht="12" thickBot="1">
      <c r="A5" s="709"/>
      <c r="B5" s="1638" t="s">
        <v>63</v>
      </c>
      <c r="C5" s="1640" t="s">
        <v>25</v>
      </c>
      <c r="D5" s="1640" t="s">
        <v>96</v>
      </c>
      <c r="E5" s="1640" t="s">
        <v>707</v>
      </c>
      <c r="F5" s="1642" t="s">
        <v>502</v>
      </c>
      <c r="G5" s="1640" t="s">
        <v>98</v>
      </c>
      <c r="H5" s="1744" t="s">
        <v>708</v>
      </c>
      <c r="I5" s="1644" t="s">
        <v>67</v>
      </c>
      <c r="J5" s="1644"/>
      <c r="K5" s="1644"/>
      <c r="L5" s="1644"/>
      <c r="M5" s="1644"/>
      <c r="N5" s="1644"/>
      <c r="O5" s="1644"/>
      <c r="P5" s="1644"/>
      <c r="Q5" s="1644"/>
      <c r="R5" s="1645"/>
      <c r="S5" s="712"/>
      <c r="T5" s="712"/>
      <c r="U5" s="712"/>
      <c r="V5" s="712"/>
    </row>
    <row r="6" spans="1:22" ht="12.75" thickTop="1" thickBot="1">
      <c r="A6" s="708"/>
      <c r="B6" s="1639"/>
      <c r="C6" s="1641"/>
      <c r="D6" s="1641"/>
      <c r="E6" s="1641"/>
      <c r="F6" s="1643"/>
      <c r="G6" s="1641"/>
      <c r="H6" s="1745"/>
      <c r="I6" s="1646" t="s">
        <v>68</v>
      </c>
      <c r="J6" s="713" t="s">
        <v>49</v>
      </c>
      <c r="K6" s="713" t="s">
        <v>51</v>
      </c>
      <c r="L6" s="713" t="s">
        <v>34</v>
      </c>
      <c r="M6" s="713" t="s">
        <v>36</v>
      </c>
      <c r="N6" s="713" t="s">
        <v>38</v>
      </c>
      <c r="O6" s="713"/>
      <c r="P6" s="713" t="s">
        <v>42</v>
      </c>
      <c r="Q6" s="713" t="s">
        <v>44</v>
      </c>
      <c r="R6" s="714" t="s">
        <v>46</v>
      </c>
      <c r="S6" s="712"/>
      <c r="T6" s="712"/>
      <c r="U6" s="712"/>
      <c r="V6" s="712"/>
    </row>
    <row r="7" spans="1:22" ht="45.75" thickTop="1">
      <c r="A7" s="708"/>
      <c r="B7" s="1639"/>
      <c r="C7" s="1641"/>
      <c r="D7" s="1641"/>
      <c r="E7" s="1641"/>
      <c r="F7" s="1643"/>
      <c r="G7" s="1641"/>
      <c r="H7" s="1745"/>
      <c r="I7" s="1646"/>
      <c r="J7" s="715" t="s">
        <v>70</v>
      </c>
      <c r="K7" s="715" t="s">
        <v>71</v>
      </c>
      <c r="L7" s="715" t="s">
        <v>72</v>
      </c>
      <c r="M7" s="715" t="s">
        <v>73</v>
      </c>
      <c r="N7" s="715" t="s">
        <v>74</v>
      </c>
      <c r="O7" s="715"/>
      <c r="P7" s="715" t="s">
        <v>76</v>
      </c>
      <c r="Q7" s="715" t="s">
        <v>77</v>
      </c>
      <c r="R7" s="716" t="s">
        <v>709</v>
      </c>
      <c r="S7" s="712"/>
      <c r="T7" s="712"/>
      <c r="U7" s="712"/>
      <c r="V7" s="712"/>
    </row>
    <row r="8" spans="1:22" s="206" customFormat="1" ht="24" customHeight="1">
      <c r="A8" s="1713"/>
      <c r="B8" s="1714" t="s">
        <v>179</v>
      </c>
      <c r="C8" s="1715" t="s">
        <v>149</v>
      </c>
      <c r="D8" s="1716" t="s">
        <v>150</v>
      </c>
      <c r="E8" s="1715" t="s">
        <v>371</v>
      </c>
      <c r="F8" s="1716" t="s">
        <v>568</v>
      </c>
      <c r="G8" s="1717" t="s">
        <v>81</v>
      </c>
      <c r="H8" s="1718">
        <v>1242</v>
      </c>
      <c r="I8" s="1719">
        <f>L8+M8+N8+R8</f>
        <v>4886886000</v>
      </c>
      <c r="J8" s="1719">
        <v>0</v>
      </c>
      <c r="K8" s="1719">
        <v>0</v>
      </c>
      <c r="L8" s="1719">
        <v>1534000000</v>
      </c>
      <c r="M8" s="1719">
        <v>252800000</v>
      </c>
      <c r="N8" s="1719">
        <v>3074551000</v>
      </c>
      <c r="O8" s="1719"/>
      <c r="P8" s="1719">
        <v>0</v>
      </c>
      <c r="Q8" s="1719">
        <v>0</v>
      </c>
      <c r="R8" s="1720">
        <v>25535000</v>
      </c>
      <c r="S8" s="1721"/>
      <c r="T8" s="1721"/>
      <c r="U8" s="1722"/>
      <c r="V8" s="1722"/>
    </row>
    <row r="9" spans="1:22" s="206" customFormat="1" ht="24" customHeight="1">
      <c r="A9" s="1713"/>
      <c r="B9" s="1714" t="s">
        <v>179</v>
      </c>
      <c r="C9" s="1715" t="s">
        <v>149</v>
      </c>
      <c r="D9" s="1716" t="s">
        <v>150</v>
      </c>
      <c r="E9" s="1715" t="s">
        <v>371</v>
      </c>
      <c r="F9" s="1716" t="s">
        <v>568</v>
      </c>
      <c r="G9" s="1717" t="s">
        <v>82</v>
      </c>
      <c r="H9" s="1718">
        <v>1242</v>
      </c>
      <c r="I9" s="1719">
        <f t="shared" ref="I9:I46" si="0">L9+M9+N9+R9</f>
        <v>4886886000</v>
      </c>
      <c r="J9" s="1719">
        <v>0</v>
      </c>
      <c r="K9" s="1719">
        <v>0</v>
      </c>
      <c r="L9" s="1719">
        <v>1534000000</v>
      </c>
      <c r="M9" s="1719">
        <v>252800000</v>
      </c>
      <c r="N9" s="1719">
        <v>3074551000</v>
      </c>
      <c r="O9" s="1719"/>
      <c r="P9" s="1719">
        <v>0</v>
      </c>
      <c r="Q9" s="1719">
        <v>0</v>
      </c>
      <c r="R9" s="1720">
        <v>25535000</v>
      </c>
      <c r="S9" s="1721"/>
      <c r="T9" s="1721"/>
      <c r="U9" s="1721"/>
      <c r="V9" s="1721"/>
    </row>
    <row r="10" spans="1:22" s="206" customFormat="1" ht="24" customHeight="1">
      <c r="A10" s="1713"/>
      <c r="B10" s="1714" t="s">
        <v>179</v>
      </c>
      <c r="C10" s="1715" t="s">
        <v>149</v>
      </c>
      <c r="D10" s="1716" t="s">
        <v>150</v>
      </c>
      <c r="E10" s="1715" t="s">
        <v>371</v>
      </c>
      <c r="F10" s="1716" t="s">
        <v>568</v>
      </c>
      <c r="G10" s="1717" t="s">
        <v>83</v>
      </c>
      <c r="H10" s="1718">
        <v>1224</v>
      </c>
      <c r="I10" s="1719">
        <f t="shared" si="0"/>
        <v>1195914954</v>
      </c>
      <c r="J10" s="1719">
        <v>0</v>
      </c>
      <c r="K10" s="1719">
        <v>0</v>
      </c>
      <c r="L10" s="1719">
        <v>514679533</v>
      </c>
      <c r="M10" s="1719">
        <v>84615661</v>
      </c>
      <c r="N10" s="1719">
        <v>589611824</v>
      </c>
      <c r="O10" s="1719"/>
      <c r="P10" s="1719">
        <v>0</v>
      </c>
      <c r="Q10" s="1719">
        <v>0</v>
      </c>
      <c r="R10" s="1720">
        <v>7007936</v>
      </c>
      <c r="S10" s="1721"/>
      <c r="T10" s="1721"/>
      <c r="U10" s="1721"/>
      <c r="V10" s="1721"/>
    </row>
    <row r="11" spans="1:22" s="206" customFormat="1">
      <c r="A11" s="1713"/>
      <c r="B11" s="1714" t="s">
        <v>179</v>
      </c>
      <c r="C11" s="1715" t="s">
        <v>149</v>
      </c>
      <c r="D11" s="1716" t="s">
        <v>150</v>
      </c>
      <c r="E11" s="1715" t="s">
        <v>372</v>
      </c>
      <c r="F11" s="1716" t="s">
        <v>373</v>
      </c>
      <c r="G11" s="1717" t="s">
        <v>81</v>
      </c>
      <c r="H11" s="1718">
        <v>70</v>
      </c>
      <c r="I11" s="1719">
        <f t="shared" si="0"/>
        <v>223000000</v>
      </c>
      <c r="J11" s="1719">
        <v>0</v>
      </c>
      <c r="K11" s="1719">
        <v>0</v>
      </c>
      <c r="L11" s="1719">
        <v>160000000</v>
      </c>
      <c r="M11" s="1719">
        <v>22000000</v>
      </c>
      <c r="N11" s="1719">
        <v>38000000</v>
      </c>
      <c r="O11" s="1719"/>
      <c r="P11" s="1719">
        <v>0</v>
      </c>
      <c r="Q11" s="1719">
        <v>0</v>
      </c>
      <c r="R11" s="1720">
        <v>3000000</v>
      </c>
      <c r="S11" s="1722"/>
      <c r="T11" s="1721"/>
      <c r="U11" s="1722"/>
      <c r="V11" s="1722"/>
    </row>
    <row r="12" spans="1:22" s="206" customFormat="1">
      <c r="A12" s="1713"/>
      <c r="B12" s="1714" t="s">
        <v>179</v>
      </c>
      <c r="C12" s="1715" t="s">
        <v>149</v>
      </c>
      <c r="D12" s="1716" t="s">
        <v>150</v>
      </c>
      <c r="E12" s="1715" t="s">
        <v>372</v>
      </c>
      <c r="F12" s="1716" t="s">
        <v>373</v>
      </c>
      <c r="G12" s="1717" t="s">
        <v>82</v>
      </c>
      <c r="H12" s="1718">
        <v>70</v>
      </c>
      <c r="I12" s="1719">
        <f t="shared" si="0"/>
        <v>223000000</v>
      </c>
      <c r="J12" s="1719">
        <v>0</v>
      </c>
      <c r="K12" s="1719">
        <v>0</v>
      </c>
      <c r="L12" s="1719">
        <v>160000000</v>
      </c>
      <c r="M12" s="1719">
        <v>22000000</v>
      </c>
      <c r="N12" s="1719">
        <v>38000000</v>
      </c>
      <c r="O12" s="1719"/>
      <c r="P12" s="1719">
        <v>0</v>
      </c>
      <c r="Q12" s="1719">
        <v>0</v>
      </c>
      <c r="R12" s="1720">
        <v>3000000</v>
      </c>
      <c r="S12" s="1722"/>
      <c r="T12" s="1721"/>
      <c r="U12" s="1722"/>
      <c r="V12" s="1722"/>
    </row>
    <row r="13" spans="1:22" s="206" customFormat="1">
      <c r="A13" s="1713"/>
      <c r="B13" s="1714" t="s">
        <v>179</v>
      </c>
      <c r="C13" s="1715" t="s">
        <v>149</v>
      </c>
      <c r="D13" s="1716" t="s">
        <v>150</v>
      </c>
      <c r="E13" s="1715" t="s">
        <v>372</v>
      </c>
      <c r="F13" s="1716" t="s">
        <v>373</v>
      </c>
      <c r="G13" s="1717" t="s">
        <v>83</v>
      </c>
      <c r="H13" s="1718">
        <v>70</v>
      </c>
      <c r="I13" s="1719">
        <f t="shared" si="0"/>
        <v>69787049</v>
      </c>
      <c r="J13" s="1719">
        <v>0</v>
      </c>
      <c r="K13" s="1719">
        <v>0</v>
      </c>
      <c r="L13" s="1719">
        <v>54631248</v>
      </c>
      <c r="M13" s="1719">
        <v>9130606</v>
      </c>
      <c r="N13" s="1719">
        <v>5242905</v>
      </c>
      <c r="O13" s="1719"/>
      <c r="P13" s="1719">
        <v>0</v>
      </c>
      <c r="Q13" s="1719">
        <v>0</v>
      </c>
      <c r="R13" s="1720">
        <v>782290</v>
      </c>
      <c r="S13" s="1722"/>
      <c r="T13" s="1721"/>
      <c r="U13" s="1722"/>
      <c r="V13" s="1722"/>
    </row>
    <row r="14" spans="1:22" s="206" customFormat="1">
      <c r="A14" s="1713"/>
      <c r="B14" s="1714" t="s">
        <v>179</v>
      </c>
      <c r="C14" s="1715" t="s">
        <v>149</v>
      </c>
      <c r="D14" s="1716" t="s">
        <v>150</v>
      </c>
      <c r="E14" s="1715" t="s">
        <v>374</v>
      </c>
      <c r="F14" s="1716" t="s">
        <v>375</v>
      </c>
      <c r="G14" s="1717" t="s">
        <v>81</v>
      </c>
      <c r="H14" s="1718">
        <v>130</v>
      </c>
      <c r="I14" s="1719">
        <f t="shared" si="0"/>
        <v>45150000</v>
      </c>
      <c r="J14" s="1719">
        <v>0</v>
      </c>
      <c r="K14" s="1719">
        <v>0</v>
      </c>
      <c r="L14" s="1719">
        <v>36000000</v>
      </c>
      <c r="M14" s="1719">
        <v>6000000</v>
      </c>
      <c r="N14" s="1719">
        <v>3000000</v>
      </c>
      <c r="O14" s="1719"/>
      <c r="P14" s="1719">
        <v>0</v>
      </c>
      <c r="Q14" s="1719">
        <v>0</v>
      </c>
      <c r="R14" s="1720">
        <v>150000</v>
      </c>
      <c r="S14" s="1722"/>
      <c r="T14" s="1721"/>
      <c r="U14" s="1722"/>
      <c r="V14" s="1722"/>
    </row>
    <row r="15" spans="1:22" s="206" customFormat="1">
      <c r="A15" s="1713"/>
      <c r="B15" s="1714" t="s">
        <v>179</v>
      </c>
      <c r="C15" s="1715" t="s">
        <v>149</v>
      </c>
      <c r="D15" s="1716" t="s">
        <v>150</v>
      </c>
      <c r="E15" s="1715" t="s">
        <v>374</v>
      </c>
      <c r="F15" s="1716" t="s">
        <v>375</v>
      </c>
      <c r="G15" s="1717" t="s">
        <v>82</v>
      </c>
      <c r="H15" s="1718">
        <v>130</v>
      </c>
      <c r="I15" s="1719">
        <f t="shared" si="0"/>
        <v>45150000</v>
      </c>
      <c r="J15" s="1719">
        <v>0</v>
      </c>
      <c r="K15" s="1719">
        <v>0</v>
      </c>
      <c r="L15" s="1719">
        <v>36000000</v>
      </c>
      <c r="M15" s="1719">
        <v>6000000</v>
      </c>
      <c r="N15" s="1719">
        <v>3000000</v>
      </c>
      <c r="O15" s="1719"/>
      <c r="P15" s="1719">
        <v>0</v>
      </c>
      <c r="Q15" s="1719">
        <v>0</v>
      </c>
      <c r="R15" s="1720">
        <v>150000</v>
      </c>
      <c r="S15" s="1722"/>
      <c r="T15" s="1721"/>
      <c r="U15" s="1722"/>
      <c r="V15" s="1722"/>
    </row>
    <row r="16" spans="1:22" s="206" customFormat="1">
      <c r="A16" s="1713"/>
      <c r="B16" s="1714" t="s">
        <v>179</v>
      </c>
      <c r="C16" s="1715" t="s">
        <v>149</v>
      </c>
      <c r="D16" s="1716" t="s">
        <v>150</v>
      </c>
      <c r="E16" s="1715" t="s">
        <v>374</v>
      </c>
      <c r="F16" s="1716" t="s">
        <v>375</v>
      </c>
      <c r="G16" s="1717" t="s">
        <v>83</v>
      </c>
      <c r="H16" s="1718">
        <v>130</v>
      </c>
      <c r="I16" s="1719">
        <f t="shared" si="0"/>
        <v>12109452</v>
      </c>
      <c r="J16" s="1719">
        <v>0</v>
      </c>
      <c r="K16" s="1719">
        <v>0</v>
      </c>
      <c r="L16" s="1719">
        <v>9925015</v>
      </c>
      <c r="M16" s="1719">
        <v>1647277</v>
      </c>
      <c r="N16" s="1719">
        <v>537160</v>
      </c>
      <c r="O16" s="1719"/>
      <c r="P16" s="1719">
        <v>0</v>
      </c>
      <c r="Q16" s="1719">
        <v>0</v>
      </c>
      <c r="R16" s="1720">
        <v>0</v>
      </c>
      <c r="S16" s="1722"/>
      <c r="T16" s="1721"/>
      <c r="U16" s="1722"/>
      <c r="V16" s="1722"/>
    </row>
    <row r="17" spans="1:20" s="206" customFormat="1">
      <c r="A17" s="1713"/>
      <c r="B17" s="1714" t="s">
        <v>179</v>
      </c>
      <c r="C17" s="1715" t="s">
        <v>149</v>
      </c>
      <c r="D17" s="1716" t="s">
        <v>150</v>
      </c>
      <c r="E17" s="1715" t="s">
        <v>376</v>
      </c>
      <c r="F17" s="1716" t="s">
        <v>377</v>
      </c>
      <c r="G17" s="1717" t="s">
        <v>81</v>
      </c>
      <c r="H17" s="1718">
        <v>160</v>
      </c>
      <c r="I17" s="1719">
        <f t="shared" si="0"/>
        <v>478000000</v>
      </c>
      <c r="J17" s="1719">
        <v>0</v>
      </c>
      <c r="K17" s="1719">
        <v>0</v>
      </c>
      <c r="L17" s="1719">
        <v>190000000</v>
      </c>
      <c r="M17" s="1719">
        <v>30000000</v>
      </c>
      <c r="N17" s="1719">
        <v>33000000</v>
      </c>
      <c r="O17" s="1719"/>
      <c r="P17" s="1719">
        <v>0</v>
      </c>
      <c r="Q17" s="1719">
        <v>0</v>
      </c>
      <c r="R17" s="1720">
        <v>225000000</v>
      </c>
      <c r="S17" s="1722"/>
      <c r="T17" s="1721"/>
    </row>
    <row r="18" spans="1:20" s="206" customFormat="1">
      <c r="A18" s="1713"/>
      <c r="B18" s="1714" t="s">
        <v>179</v>
      </c>
      <c r="C18" s="1715" t="s">
        <v>149</v>
      </c>
      <c r="D18" s="1716" t="s">
        <v>150</v>
      </c>
      <c r="E18" s="1715" t="s">
        <v>376</v>
      </c>
      <c r="F18" s="1716" t="s">
        <v>377</v>
      </c>
      <c r="G18" s="1717" t="s">
        <v>82</v>
      </c>
      <c r="H18" s="1718">
        <v>160</v>
      </c>
      <c r="I18" s="1719">
        <f t="shared" si="0"/>
        <v>478000000</v>
      </c>
      <c r="J18" s="1719">
        <v>0</v>
      </c>
      <c r="K18" s="1719">
        <v>0</v>
      </c>
      <c r="L18" s="1719">
        <v>190000000</v>
      </c>
      <c r="M18" s="1719">
        <v>30000000</v>
      </c>
      <c r="N18" s="1719">
        <v>33000000</v>
      </c>
      <c r="O18" s="1719"/>
      <c r="P18" s="1719">
        <v>0</v>
      </c>
      <c r="Q18" s="1719">
        <v>0</v>
      </c>
      <c r="R18" s="1720">
        <v>225000000</v>
      </c>
      <c r="S18" s="1722"/>
      <c r="T18" s="1721"/>
    </row>
    <row r="19" spans="1:20" s="206" customFormat="1">
      <c r="A19" s="1713"/>
      <c r="B19" s="1714" t="s">
        <v>179</v>
      </c>
      <c r="C19" s="1715" t="s">
        <v>149</v>
      </c>
      <c r="D19" s="1716" t="s">
        <v>150</v>
      </c>
      <c r="E19" s="1715" t="s">
        <v>376</v>
      </c>
      <c r="F19" s="1716" t="s">
        <v>377</v>
      </c>
      <c r="G19" s="1717" t="s">
        <v>83</v>
      </c>
      <c r="H19" s="1718">
        <v>160</v>
      </c>
      <c r="I19" s="1719">
        <f t="shared" si="0"/>
        <v>129786457</v>
      </c>
      <c r="J19" s="1719">
        <v>0</v>
      </c>
      <c r="K19" s="1719">
        <v>0</v>
      </c>
      <c r="L19" s="1719">
        <v>75390403</v>
      </c>
      <c r="M19" s="1719">
        <v>10568225</v>
      </c>
      <c r="N19" s="1719">
        <v>6685897</v>
      </c>
      <c r="O19" s="1719"/>
      <c r="P19" s="1719">
        <v>0</v>
      </c>
      <c r="Q19" s="1719">
        <v>0</v>
      </c>
      <c r="R19" s="1720">
        <v>37141932</v>
      </c>
      <c r="S19" s="1722"/>
      <c r="T19" s="1721"/>
    </row>
    <row r="20" spans="1:20" s="206" customFormat="1">
      <c r="A20" s="1713"/>
      <c r="B20" s="1714" t="s">
        <v>179</v>
      </c>
      <c r="C20" s="1715" t="s">
        <v>149</v>
      </c>
      <c r="D20" s="1716" t="s">
        <v>150</v>
      </c>
      <c r="E20" s="1715" t="s">
        <v>378</v>
      </c>
      <c r="F20" s="1716" t="s">
        <v>379</v>
      </c>
      <c r="G20" s="1717" t="s">
        <v>81</v>
      </c>
      <c r="H20" s="1718">
        <v>67</v>
      </c>
      <c r="I20" s="1719">
        <f t="shared" si="0"/>
        <v>107000000</v>
      </c>
      <c r="J20" s="1719">
        <v>0</v>
      </c>
      <c r="K20" s="1719">
        <v>0</v>
      </c>
      <c r="L20" s="1719">
        <v>69000000</v>
      </c>
      <c r="M20" s="1719">
        <v>10000000</v>
      </c>
      <c r="N20" s="1719">
        <v>25000000</v>
      </c>
      <c r="O20" s="1719"/>
      <c r="P20" s="1719">
        <v>0</v>
      </c>
      <c r="Q20" s="1719">
        <v>0</v>
      </c>
      <c r="R20" s="1720">
        <v>3000000</v>
      </c>
      <c r="S20" s="1722"/>
      <c r="T20" s="1721"/>
    </row>
    <row r="21" spans="1:20" s="206" customFormat="1">
      <c r="A21" s="1713"/>
      <c r="B21" s="1714" t="s">
        <v>179</v>
      </c>
      <c r="C21" s="1715" t="s">
        <v>149</v>
      </c>
      <c r="D21" s="1716" t="s">
        <v>150</v>
      </c>
      <c r="E21" s="1715" t="s">
        <v>378</v>
      </c>
      <c r="F21" s="1716" t="s">
        <v>379</v>
      </c>
      <c r="G21" s="1717" t="s">
        <v>82</v>
      </c>
      <c r="H21" s="1718">
        <v>67</v>
      </c>
      <c r="I21" s="1719">
        <f t="shared" si="0"/>
        <v>107000000</v>
      </c>
      <c r="J21" s="1719">
        <v>0</v>
      </c>
      <c r="K21" s="1719">
        <v>0</v>
      </c>
      <c r="L21" s="1719">
        <v>69000000</v>
      </c>
      <c r="M21" s="1719">
        <v>10000000</v>
      </c>
      <c r="N21" s="1719">
        <v>25000000</v>
      </c>
      <c r="O21" s="1719"/>
      <c r="P21" s="1719">
        <v>0</v>
      </c>
      <c r="Q21" s="1719">
        <v>0</v>
      </c>
      <c r="R21" s="1720">
        <v>3000000</v>
      </c>
      <c r="S21" s="1722"/>
      <c r="T21" s="1721"/>
    </row>
    <row r="22" spans="1:20" s="206" customFormat="1">
      <c r="A22" s="1713"/>
      <c r="B22" s="1714" t="s">
        <v>179</v>
      </c>
      <c r="C22" s="1715" t="s">
        <v>149</v>
      </c>
      <c r="D22" s="1716" t="s">
        <v>150</v>
      </c>
      <c r="E22" s="1715" t="s">
        <v>378</v>
      </c>
      <c r="F22" s="1716" t="s">
        <v>379</v>
      </c>
      <c r="G22" s="1717" t="s">
        <v>83</v>
      </c>
      <c r="H22" s="1718">
        <v>67</v>
      </c>
      <c r="I22" s="1719">
        <f t="shared" si="0"/>
        <v>29969377</v>
      </c>
      <c r="J22" s="1719">
        <v>0</v>
      </c>
      <c r="K22" s="1719">
        <v>0</v>
      </c>
      <c r="L22" s="1719">
        <v>22167964</v>
      </c>
      <c r="M22" s="1719">
        <v>3632484</v>
      </c>
      <c r="N22" s="1719">
        <v>4038454</v>
      </c>
      <c r="O22" s="1719"/>
      <c r="P22" s="1719">
        <v>0</v>
      </c>
      <c r="Q22" s="1719">
        <v>0</v>
      </c>
      <c r="R22" s="1720">
        <v>130475</v>
      </c>
      <c r="S22" s="1722"/>
      <c r="T22" s="1721"/>
    </row>
    <row r="23" spans="1:20" s="206" customFormat="1">
      <c r="A23" s="1713"/>
      <c r="B23" s="1714" t="s">
        <v>179</v>
      </c>
      <c r="C23" s="1715" t="s">
        <v>149</v>
      </c>
      <c r="D23" s="1716" t="s">
        <v>150</v>
      </c>
      <c r="E23" s="1715" t="s">
        <v>380</v>
      </c>
      <c r="F23" s="1716" t="s">
        <v>381</v>
      </c>
      <c r="G23" s="1717" t="s">
        <v>81</v>
      </c>
      <c r="H23" s="1718">
        <v>20</v>
      </c>
      <c r="I23" s="1719">
        <f t="shared" si="0"/>
        <v>40100000</v>
      </c>
      <c r="J23" s="1719">
        <v>0</v>
      </c>
      <c r="K23" s="1719">
        <v>0</v>
      </c>
      <c r="L23" s="1719">
        <v>30000000</v>
      </c>
      <c r="M23" s="1719">
        <v>5000000</v>
      </c>
      <c r="N23" s="1719">
        <v>5000000</v>
      </c>
      <c r="O23" s="1719"/>
      <c r="P23" s="1719">
        <v>0</v>
      </c>
      <c r="Q23" s="1719">
        <v>0</v>
      </c>
      <c r="R23" s="1720">
        <v>100000</v>
      </c>
      <c r="S23" s="1722"/>
      <c r="T23" s="1721"/>
    </row>
    <row r="24" spans="1:20" s="206" customFormat="1">
      <c r="A24" s="1713"/>
      <c r="B24" s="1714" t="s">
        <v>179</v>
      </c>
      <c r="C24" s="1715" t="s">
        <v>149</v>
      </c>
      <c r="D24" s="1716" t="s">
        <v>150</v>
      </c>
      <c r="E24" s="1715" t="s">
        <v>380</v>
      </c>
      <c r="F24" s="1716" t="s">
        <v>381</v>
      </c>
      <c r="G24" s="1717" t="s">
        <v>82</v>
      </c>
      <c r="H24" s="1718">
        <v>20</v>
      </c>
      <c r="I24" s="1719">
        <f t="shared" si="0"/>
        <v>40100000</v>
      </c>
      <c r="J24" s="1719">
        <v>0</v>
      </c>
      <c r="K24" s="1719">
        <v>0</v>
      </c>
      <c r="L24" s="1719">
        <v>30000000</v>
      </c>
      <c r="M24" s="1719">
        <v>5000000</v>
      </c>
      <c r="N24" s="1719">
        <v>5000000</v>
      </c>
      <c r="O24" s="1719"/>
      <c r="P24" s="1719">
        <v>0</v>
      </c>
      <c r="Q24" s="1719">
        <v>0</v>
      </c>
      <c r="R24" s="1720">
        <v>100000</v>
      </c>
      <c r="S24" s="1722"/>
      <c r="T24" s="1721"/>
    </row>
    <row r="25" spans="1:20" s="206" customFormat="1">
      <c r="A25" s="1713"/>
      <c r="B25" s="1714" t="s">
        <v>179</v>
      </c>
      <c r="C25" s="1715" t="s">
        <v>149</v>
      </c>
      <c r="D25" s="1716" t="s">
        <v>150</v>
      </c>
      <c r="E25" s="1715" t="s">
        <v>380</v>
      </c>
      <c r="F25" s="1716" t="s">
        <v>381</v>
      </c>
      <c r="G25" s="1717" t="s">
        <v>83</v>
      </c>
      <c r="H25" s="1718">
        <v>20</v>
      </c>
      <c r="I25" s="1719">
        <f t="shared" si="0"/>
        <v>11026401</v>
      </c>
      <c r="J25" s="1719">
        <v>0</v>
      </c>
      <c r="K25" s="1719">
        <v>0</v>
      </c>
      <c r="L25" s="1719">
        <v>8710223</v>
      </c>
      <c r="M25" s="1719">
        <v>1428654</v>
      </c>
      <c r="N25" s="1719">
        <v>873234</v>
      </c>
      <c r="O25" s="1719"/>
      <c r="P25" s="1719">
        <v>0</v>
      </c>
      <c r="Q25" s="1719">
        <v>0</v>
      </c>
      <c r="R25" s="1720">
        <v>14290</v>
      </c>
      <c r="S25" s="1722"/>
      <c r="T25" s="1721"/>
    </row>
    <row r="26" spans="1:20" s="206" customFormat="1">
      <c r="A26" s="1713"/>
      <c r="B26" s="1714" t="s">
        <v>179</v>
      </c>
      <c r="C26" s="1715" t="s">
        <v>149</v>
      </c>
      <c r="D26" s="1716" t="s">
        <v>150</v>
      </c>
      <c r="E26" s="1715" t="s">
        <v>382</v>
      </c>
      <c r="F26" s="1716" t="s">
        <v>383</v>
      </c>
      <c r="G26" s="1717" t="s">
        <v>81</v>
      </c>
      <c r="H26" s="1718">
        <v>60</v>
      </c>
      <c r="I26" s="1719">
        <f t="shared" si="0"/>
        <v>86300000</v>
      </c>
      <c r="J26" s="1719">
        <v>0</v>
      </c>
      <c r="K26" s="1719">
        <v>0</v>
      </c>
      <c r="L26" s="1719">
        <v>64000000</v>
      </c>
      <c r="M26" s="1719">
        <v>10000000</v>
      </c>
      <c r="N26" s="1719">
        <v>12000000</v>
      </c>
      <c r="O26" s="1719"/>
      <c r="P26" s="1719">
        <v>0</v>
      </c>
      <c r="Q26" s="1719">
        <v>0</v>
      </c>
      <c r="R26" s="1720">
        <v>300000</v>
      </c>
      <c r="S26" s="1722"/>
      <c r="T26" s="1721"/>
    </row>
    <row r="27" spans="1:20" s="206" customFormat="1">
      <c r="A27" s="1713"/>
      <c r="B27" s="1714" t="s">
        <v>179</v>
      </c>
      <c r="C27" s="1715" t="s">
        <v>149</v>
      </c>
      <c r="D27" s="1716" t="s">
        <v>150</v>
      </c>
      <c r="E27" s="1715" t="s">
        <v>382</v>
      </c>
      <c r="F27" s="1716" t="s">
        <v>383</v>
      </c>
      <c r="G27" s="1717" t="s">
        <v>82</v>
      </c>
      <c r="H27" s="1718">
        <v>60</v>
      </c>
      <c r="I27" s="1719">
        <f t="shared" si="0"/>
        <v>86300000</v>
      </c>
      <c r="J27" s="1719">
        <v>0</v>
      </c>
      <c r="K27" s="1719">
        <v>0</v>
      </c>
      <c r="L27" s="1719">
        <v>64000000</v>
      </c>
      <c r="M27" s="1719">
        <v>10000000</v>
      </c>
      <c r="N27" s="1719">
        <v>12000000</v>
      </c>
      <c r="O27" s="1719"/>
      <c r="P27" s="1719">
        <v>0</v>
      </c>
      <c r="Q27" s="1719">
        <v>0</v>
      </c>
      <c r="R27" s="1720">
        <v>300000</v>
      </c>
      <c r="S27" s="1722"/>
      <c r="T27" s="1721"/>
    </row>
    <row r="28" spans="1:20" s="206" customFormat="1">
      <c r="A28" s="1713"/>
      <c r="B28" s="1714" t="s">
        <v>179</v>
      </c>
      <c r="C28" s="1715" t="s">
        <v>149</v>
      </c>
      <c r="D28" s="1716" t="s">
        <v>150</v>
      </c>
      <c r="E28" s="1715" t="s">
        <v>382</v>
      </c>
      <c r="F28" s="1716" t="s">
        <v>383</v>
      </c>
      <c r="G28" s="1717" t="s">
        <v>83</v>
      </c>
      <c r="H28" s="1718">
        <v>50</v>
      </c>
      <c r="I28" s="1719">
        <f t="shared" si="0"/>
        <v>28914610</v>
      </c>
      <c r="J28" s="1719">
        <v>0</v>
      </c>
      <c r="K28" s="1719">
        <v>0</v>
      </c>
      <c r="L28" s="1719">
        <v>22258336</v>
      </c>
      <c r="M28" s="1719">
        <v>3733413</v>
      </c>
      <c r="N28" s="1719">
        <v>2788861</v>
      </c>
      <c r="O28" s="1719"/>
      <c r="P28" s="1719">
        <v>0</v>
      </c>
      <c r="Q28" s="1719">
        <v>0</v>
      </c>
      <c r="R28" s="1720">
        <v>134000</v>
      </c>
      <c r="S28" s="1722"/>
      <c r="T28" s="1721"/>
    </row>
    <row r="29" spans="1:20" s="206" customFormat="1">
      <c r="A29" s="1713"/>
      <c r="B29" s="1714" t="s">
        <v>179</v>
      </c>
      <c r="C29" s="1715" t="s">
        <v>149</v>
      </c>
      <c r="D29" s="1716" t="s">
        <v>150</v>
      </c>
      <c r="E29" s="1715" t="s">
        <v>256</v>
      </c>
      <c r="F29" s="1716" t="s">
        <v>257</v>
      </c>
      <c r="G29" s="1717" t="s">
        <v>81</v>
      </c>
      <c r="H29" s="1718">
        <v>250</v>
      </c>
      <c r="I29" s="1719">
        <f t="shared" si="0"/>
        <v>426088000</v>
      </c>
      <c r="J29" s="1719">
        <v>0</v>
      </c>
      <c r="K29" s="1719">
        <v>0</v>
      </c>
      <c r="L29" s="1719">
        <v>264000000</v>
      </c>
      <c r="M29" s="1719">
        <v>44088000</v>
      </c>
      <c r="N29" s="1719">
        <v>115000000</v>
      </c>
      <c r="O29" s="1719"/>
      <c r="P29" s="1719">
        <v>0</v>
      </c>
      <c r="Q29" s="1719">
        <v>0</v>
      </c>
      <c r="R29" s="1720">
        <v>3000000</v>
      </c>
      <c r="S29" s="1722"/>
      <c r="T29" s="1721"/>
    </row>
    <row r="30" spans="1:20" s="206" customFormat="1">
      <c r="A30" s="1713"/>
      <c r="B30" s="1714" t="s">
        <v>179</v>
      </c>
      <c r="C30" s="1715" t="s">
        <v>149</v>
      </c>
      <c r="D30" s="1716" t="s">
        <v>150</v>
      </c>
      <c r="E30" s="1715" t="s">
        <v>256</v>
      </c>
      <c r="F30" s="1716" t="s">
        <v>257</v>
      </c>
      <c r="G30" s="1717" t="s">
        <v>82</v>
      </c>
      <c r="H30" s="1718">
        <v>250</v>
      </c>
      <c r="I30" s="1719">
        <f t="shared" si="0"/>
        <v>426088000</v>
      </c>
      <c r="J30" s="1719">
        <v>0</v>
      </c>
      <c r="K30" s="1719">
        <v>0</v>
      </c>
      <c r="L30" s="1719">
        <v>264000000</v>
      </c>
      <c r="M30" s="1719">
        <v>44088000</v>
      </c>
      <c r="N30" s="1719">
        <v>115000000</v>
      </c>
      <c r="O30" s="1719"/>
      <c r="P30" s="1719">
        <v>0</v>
      </c>
      <c r="Q30" s="1719">
        <v>0</v>
      </c>
      <c r="R30" s="1720">
        <v>3000000</v>
      </c>
      <c r="S30" s="1722"/>
      <c r="T30" s="1721"/>
    </row>
    <row r="31" spans="1:20" s="206" customFormat="1">
      <c r="A31" s="1713"/>
      <c r="B31" s="1714" t="s">
        <v>179</v>
      </c>
      <c r="C31" s="1715" t="s">
        <v>149</v>
      </c>
      <c r="D31" s="1716" t="s">
        <v>150</v>
      </c>
      <c r="E31" s="1715" t="s">
        <v>256</v>
      </c>
      <c r="F31" s="1716" t="s">
        <v>257</v>
      </c>
      <c r="G31" s="1717" t="s">
        <v>83</v>
      </c>
      <c r="H31" s="1718">
        <v>250</v>
      </c>
      <c r="I31" s="1719">
        <f t="shared" si="0"/>
        <v>135317768.28</v>
      </c>
      <c r="J31" s="1719">
        <v>0</v>
      </c>
      <c r="K31" s="1719">
        <v>0</v>
      </c>
      <c r="L31" s="1719">
        <v>89925416</v>
      </c>
      <c r="M31" s="1719">
        <v>15327791</v>
      </c>
      <c r="N31" s="1719">
        <v>29113653.280000001</v>
      </c>
      <c r="O31" s="1719"/>
      <c r="P31" s="1719">
        <v>0</v>
      </c>
      <c r="Q31" s="1719">
        <v>0</v>
      </c>
      <c r="R31" s="1720">
        <v>950908</v>
      </c>
      <c r="S31" s="1722"/>
      <c r="T31" s="1721"/>
    </row>
    <row r="32" spans="1:20" s="206" customFormat="1">
      <c r="A32" s="1713"/>
      <c r="B32" s="1714" t="s">
        <v>179</v>
      </c>
      <c r="C32" s="1715" t="s">
        <v>149</v>
      </c>
      <c r="D32" s="1716" t="s">
        <v>150</v>
      </c>
      <c r="E32" s="1715" t="s">
        <v>384</v>
      </c>
      <c r="F32" s="1716" t="s">
        <v>385</v>
      </c>
      <c r="G32" s="1717" t="s">
        <v>81</v>
      </c>
      <c r="H32" s="1718">
        <v>24</v>
      </c>
      <c r="I32" s="1719">
        <f t="shared" si="0"/>
        <v>46400000</v>
      </c>
      <c r="J32" s="1719">
        <v>0</v>
      </c>
      <c r="K32" s="1719">
        <v>0</v>
      </c>
      <c r="L32" s="1719">
        <v>36000000</v>
      </c>
      <c r="M32" s="1719">
        <v>6000000</v>
      </c>
      <c r="N32" s="1719">
        <v>4000000</v>
      </c>
      <c r="O32" s="1719"/>
      <c r="P32" s="1719">
        <v>0</v>
      </c>
      <c r="Q32" s="1719">
        <v>0</v>
      </c>
      <c r="R32" s="1720">
        <v>400000</v>
      </c>
      <c r="S32" s="1722"/>
      <c r="T32" s="1721"/>
    </row>
    <row r="33" spans="1:20" s="206" customFormat="1">
      <c r="A33" s="1713"/>
      <c r="B33" s="1714" t="s">
        <v>179</v>
      </c>
      <c r="C33" s="1715" t="s">
        <v>149</v>
      </c>
      <c r="D33" s="1716" t="s">
        <v>150</v>
      </c>
      <c r="E33" s="1715" t="s">
        <v>384</v>
      </c>
      <c r="F33" s="1716" t="s">
        <v>385</v>
      </c>
      <c r="G33" s="1717" t="s">
        <v>82</v>
      </c>
      <c r="H33" s="1718">
        <v>24</v>
      </c>
      <c r="I33" s="1719">
        <f t="shared" si="0"/>
        <v>46400000</v>
      </c>
      <c r="J33" s="1719">
        <v>0</v>
      </c>
      <c r="K33" s="1719">
        <v>0</v>
      </c>
      <c r="L33" s="1719">
        <v>36000000</v>
      </c>
      <c r="M33" s="1719">
        <v>6000000</v>
      </c>
      <c r="N33" s="1719">
        <v>4000000</v>
      </c>
      <c r="O33" s="1719"/>
      <c r="P33" s="1719">
        <v>0</v>
      </c>
      <c r="Q33" s="1719">
        <v>0</v>
      </c>
      <c r="R33" s="1720">
        <v>400000</v>
      </c>
      <c r="S33" s="1722"/>
      <c r="T33" s="1721"/>
    </row>
    <row r="34" spans="1:20" s="206" customFormat="1">
      <c r="A34" s="1713"/>
      <c r="B34" s="1714" t="s">
        <v>179</v>
      </c>
      <c r="C34" s="1715" t="s">
        <v>149</v>
      </c>
      <c r="D34" s="1716" t="s">
        <v>150</v>
      </c>
      <c r="E34" s="1715" t="s">
        <v>384</v>
      </c>
      <c r="F34" s="1716" t="s">
        <v>385</v>
      </c>
      <c r="G34" s="1717" t="s">
        <v>83</v>
      </c>
      <c r="H34" s="1718">
        <v>24</v>
      </c>
      <c r="I34" s="1719">
        <f t="shared" si="0"/>
        <v>13432877</v>
      </c>
      <c r="J34" s="1719">
        <v>0</v>
      </c>
      <c r="K34" s="1719">
        <v>0</v>
      </c>
      <c r="L34" s="1719">
        <v>10660107</v>
      </c>
      <c r="M34" s="1719">
        <v>1747123</v>
      </c>
      <c r="N34" s="1719">
        <v>774027</v>
      </c>
      <c r="O34" s="1719"/>
      <c r="P34" s="1719">
        <v>0</v>
      </c>
      <c r="Q34" s="1719">
        <v>0</v>
      </c>
      <c r="R34" s="1720">
        <v>251620</v>
      </c>
      <c r="S34" s="1722"/>
      <c r="T34" s="1721"/>
    </row>
    <row r="35" spans="1:20" s="206" customFormat="1">
      <c r="A35" s="1713"/>
      <c r="B35" s="1714" t="s">
        <v>179</v>
      </c>
      <c r="C35" s="1715" t="s">
        <v>149</v>
      </c>
      <c r="D35" s="1716" t="s">
        <v>150</v>
      </c>
      <c r="E35" s="1715" t="s">
        <v>386</v>
      </c>
      <c r="F35" s="1716" t="s">
        <v>387</v>
      </c>
      <c r="G35" s="1717" t="s">
        <v>81</v>
      </c>
      <c r="H35" s="1718">
        <v>427</v>
      </c>
      <c r="I35" s="1719">
        <f t="shared" si="0"/>
        <v>797000000</v>
      </c>
      <c r="J35" s="1719">
        <v>0</v>
      </c>
      <c r="K35" s="1719">
        <v>0</v>
      </c>
      <c r="L35" s="1719">
        <v>530000000</v>
      </c>
      <c r="M35" s="1719">
        <v>80000000</v>
      </c>
      <c r="N35" s="1719">
        <v>180000000</v>
      </c>
      <c r="O35" s="1719"/>
      <c r="P35" s="1719">
        <v>0</v>
      </c>
      <c r="Q35" s="1719">
        <v>0</v>
      </c>
      <c r="R35" s="1720">
        <v>7000000</v>
      </c>
      <c r="S35" s="1722"/>
      <c r="T35" s="1721"/>
    </row>
    <row r="36" spans="1:20" s="206" customFormat="1">
      <c r="A36" s="1713"/>
      <c r="B36" s="1714" t="s">
        <v>179</v>
      </c>
      <c r="C36" s="1715" t="s">
        <v>149</v>
      </c>
      <c r="D36" s="1716" t="s">
        <v>150</v>
      </c>
      <c r="E36" s="1715" t="s">
        <v>386</v>
      </c>
      <c r="F36" s="1716" t="s">
        <v>387</v>
      </c>
      <c r="G36" s="1717" t="s">
        <v>82</v>
      </c>
      <c r="H36" s="1718">
        <v>427</v>
      </c>
      <c r="I36" s="1719">
        <f t="shared" si="0"/>
        <v>797000000</v>
      </c>
      <c r="J36" s="1719">
        <v>0</v>
      </c>
      <c r="K36" s="1719">
        <v>0</v>
      </c>
      <c r="L36" s="1719">
        <v>530000000</v>
      </c>
      <c r="M36" s="1719">
        <v>80000000</v>
      </c>
      <c r="N36" s="1719">
        <v>180000000</v>
      </c>
      <c r="O36" s="1719"/>
      <c r="P36" s="1719">
        <v>0</v>
      </c>
      <c r="Q36" s="1719">
        <v>0</v>
      </c>
      <c r="R36" s="1720">
        <v>7000000</v>
      </c>
      <c r="S36" s="1722"/>
      <c r="T36" s="1721"/>
    </row>
    <row r="37" spans="1:20" s="206" customFormat="1">
      <c r="A37" s="1713"/>
      <c r="B37" s="1714" t="s">
        <v>179</v>
      </c>
      <c r="C37" s="1715" t="s">
        <v>149</v>
      </c>
      <c r="D37" s="1716" t="s">
        <v>150</v>
      </c>
      <c r="E37" s="1715" t="s">
        <v>386</v>
      </c>
      <c r="F37" s="1716" t="s">
        <v>387</v>
      </c>
      <c r="G37" s="1717" t="s">
        <v>83</v>
      </c>
      <c r="H37" s="1718">
        <v>410</v>
      </c>
      <c r="I37" s="1719">
        <f t="shared" si="0"/>
        <v>237160041</v>
      </c>
      <c r="J37" s="1719">
        <v>0</v>
      </c>
      <c r="K37" s="1719">
        <v>0</v>
      </c>
      <c r="L37" s="1719">
        <v>163237267</v>
      </c>
      <c r="M37" s="1719">
        <v>27275417</v>
      </c>
      <c r="N37" s="1719">
        <v>45048476</v>
      </c>
      <c r="O37" s="1719"/>
      <c r="P37" s="1719">
        <v>0</v>
      </c>
      <c r="Q37" s="1719">
        <v>0</v>
      </c>
      <c r="R37" s="1720">
        <v>1598881</v>
      </c>
      <c r="S37" s="1722"/>
      <c r="T37" s="1721"/>
    </row>
    <row r="38" spans="1:20" s="206" customFormat="1">
      <c r="A38" s="1713"/>
      <c r="B38" s="1714" t="s">
        <v>179</v>
      </c>
      <c r="C38" s="1715" t="s">
        <v>149</v>
      </c>
      <c r="D38" s="1716" t="s">
        <v>150</v>
      </c>
      <c r="E38" s="1715" t="s">
        <v>388</v>
      </c>
      <c r="F38" s="1716" t="s">
        <v>389</v>
      </c>
      <c r="G38" s="1717" t="s">
        <v>81</v>
      </c>
      <c r="H38" s="1718">
        <v>234</v>
      </c>
      <c r="I38" s="1719">
        <f t="shared" si="0"/>
        <v>474000000</v>
      </c>
      <c r="J38" s="1719">
        <v>0</v>
      </c>
      <c r="K38" s="1719">
        <v>0</v>
      </c>
      <c r="L38" s="1719">
        <v>282000000</v>
      </c>
      <c r="M38" s="1719">
        <v>40000000</v>
      </c>
      <c r="N38" s="1719">
        <v>150000000</v>
      </c>
      <c r="O38" s="1719"/>
      <c r="P38" s="1719">
        <v>0</v>
      </c>
      <c r="Q38" s="1719">
        <v>0</v>
      </c>
      <c r="R38" s="1720">
        <v>2000000</v>
      </c>
      <c r="S38" s="1722"/>
      <c r="T38" s="1721"/>
    </row>
    <row r="39" spans="1:20" s="206" customFormat="1">
      <c r="A39" s="1713"/>
      <c r="B39" s="1714" t="s">
        <v>179</v>
      </c>
      <c r="C39" s="1715" t="s">
        <v>149</v>
      </c>
      <c r="D39" s="1716" t="s">
        <v>150</v>
      </c>
      <c r="E39" s="1715" t="s">
        <v>388</v>
      </c>
      <c r="F39" s="1716" t="s">
        <v>389</v>
      </c>
      <c r="G39" s="1717" t="s">
        <v>82</v>
      </c>
      <c r="H39" s="1718">
        <v>234</v>
      </c>
      <c r="I39" s="1719">
        <f t="shared" si="0"/>
        <v>474000000</v>
      </c>
      <c r="J39" s="1719">
        <v>0</v>
      </c>
      <c r="K39" s="1719">
        <v>0</v>
      </c>
      <c r="L39" s="1719">
        <v>282000000</v>
      </c>
      <c r="M39" s="1719">
        <v>40000000</v>
      </c>
      <c r="N39" s="1719">
        <v>150000000</v>
      </c>
      <c r="O39" s="1719"/>
      <c r="P39" s="1719">
        <v>0</v>
      </c>
      <c r="Q39" s="1719">
        <v>0</v>
      </c>
      <c r="R39" s="1720">
        <v>2000000</v>
      </c>
      <c r="S39" s="1722"/>
      <c r="T39" s="1721"/>
    </row>
    <row r="40" spans="1:20" s="206" customFormat="1">
      <c r="A40" s="1713"/>
      <c r="B40" s="1714" t="s">
        <v>179</v>
      </c>
      <c r="C40" s="1715" t="s">
        <v>149</v>
      </c>
      <c r="D40" s="1716" t="s">
        <v>150</v>
      </c>
      <c r="E40" s="1715" t="s">
        <v>388</v>
      </c>
      <c r="F40" s="1716" t="s">
        <v>389</v>
      </c>
      <c r="G40" s="1717" t="s">
        <v>83</v>
      </c>
      <c r="H40" s="1718">
        <v>234</v>
      </c>
      <c r="I40" s="1719">
        <f t="shared" si="0"/>
        <v>149417828</v>
      </c>
      <c r="J40" s="1719">
        <v>0</v>
      </c>
      <c r="K40" s="1719">
        <v>0</v>
      </c>
      <c r="L40" s="1719">
        <v>103504300</v>
      </c>
      <c r="M40" s="1719">
        <v>17244516</v>
      </c>
      <c r="N40" s="1719">
        <v>28336037</v>
      </c>
      <c r="O40" s="1719"/>
      <c r="P40" s="1719">
        <v>0</v>
      </c>
      <c r="Q40" s="1719">
        <v>0</v>
      </c>
      <c r="R40" s="1720">
        <v>332975</v>
      </c>
      <c r="S40" s="1722"/>
      <c r="T40" s="1721"/>
    </row>
    <row r="41" spans="1:20" s="206" customFormat="1">
      <c r="A41" s="1713"/>
      <c r="B41" s="1714" t="s">
        <v>179</v>
      </c>
      <c r="C41" s="1715" t="s">
        <v>149</v>
      </c>
      <c r="D41" s="1716" t="s">
        <v>150</v>
      </c>
      <c r="E41" s="1715" t="s">
        <v>390</v>
      </c>
      <c r="F41" s="1716" t="s">
        <v>391</v>
      </c>
      <c r="G41" s="1717" t="s">
        <v>81</v>
      </c>
      <c r="H41" s="1718">
        <v>599</v>
      </c>
      <c r="I41" s="1719">
        <f t="shared" si="0"/>
        <v>952000000</v>
      </c>
      <c r="J41" s="1719">
        <v>0</v>
      </c>
      <c r="K41" s="1719">
        <v>0</v>
      </c>
      <c r="L41" s="1719">
        <v>596000000</v>
      </c>
      <c r="M41" s="1719">
        <v>90000000</v>
      </c>
      <c r="N41" s="1719">
        <v>260000000</v>
      </c>
      <c r="O41" s="1719"/>
      <c r="P41" s="1719">
        <v>0</v>
      </c>
      <c r="Q41" s="1719">
        <v>0</v>
      </c>
      <c r="R41" s="1720">
        <v>6000000</v>
      </c>
      <c r="S41" s="1722"/>
      <c r="T41" s="1721"/>
    </row>
    <row r="42" spans="1:20" s="206" customFormat="1">
      <c r="A42" s="1713"/>
      <c r="B42" s="1714" t="s">
        <v>179</v>
      </c>
      <c r="C42" s="1715" t="s">
        <v>149</v>
      </c>
      <c r="D42" s="1716" t="s">
        <v>150</v>
      </c>
      <c r="E42" s="1715" t="s">
        <v>390</v>
      </c>
      <c r="F42" s="1716" t="s">
        <v>391</v>
      </c>
      <c r="G42" s="1717" t="s">
        <v>82</v>
      </c>
      <c r="H42" s="1718">
        <v>599</v>
      </c>
      <c r="I42" s="1719">
        <f t="shared" si="0"/>
        <v>952000000</v>
      </c>
      <c r="J42" s="1719">
        <v>0</v>
      </c>
      <c r="K42" s="1719">
        <v>0</v>
      </c>
      <c r="L42" s="1719">
        <v>596000000</v>
      </c>
      <c r="M42" s="1719">
        <v>90000000</v>
      </c>
      <c r="N42" s="1719">
        <v>260000000</v>
      </c>
      <c r="O42" s="1719"/>
      <c r="P42" s="1719">
        <v>0</v>
      </c>
      <c r="Q42" s="1719">
        <v>0</v>
      </c>
      <c r="R42" s="1720">
        <v>6000000</v>
      </c>
      <c r="S42" s="1722"/>
      <c r="T42" s="1721"/>
    </row>
    <row r="43" spans="1:20" s="206" customFormat="1">
      <c r="A43" s="1713"/>
      <c r="B43" s="1714" t="s">
        <v>179</v>
      </c>
      <c r="C43" s="1715" t="s">
        <v>149</v>
      </c>
      <c r="D43" s="1716" t="s">
        <v>150</v>
      </c>
      <c r="E43" s="1715" t="s">
        <v>390</v>
      </c>
      <c r="F43" s="1716" t="s">
        <v>391</v>
      </c>
      <c r="G43" s="1717" t="s">
        <v>83</v>
      </c>
      <c r="H43" s="1718">
        <v>599</v>
      </c>
      <c r="I43" s="1719">
        <f t="shared" si="0"/>
        <v>315205997</v>
      </c>
      <c r="J43" s="1719">
        <v>0</v>
      </c>
      <c r="K43" s="1719">
        <v>0</v>
      </c>
      <c r="L43" s="1719">
        <v>202282939</v>
      </c>
      <c r="M43" s="1719">
        <v>33622016</v>
      </c>
      <c r="N43" s="1719">
        <v>78996224</v>
      </c>
      <c r="O43" s="1719"/>
      <c r="P43" s="1719">
        <v>0</v>
      </c>
      <c r="Q43" s="1719">
        <v>0</v>
      </c>
      <c r="R43" s="1720">
        <v>304818</v>
      </c>
      <c r="S43" s="1722"/>
      <c r="T43" s="1721"/>
    </row>
    <row r="44" spans="1:20" s="206" customFormat="1">
      <c r="A44" s="1713"/>
      <c r="B44" s="1714" t="s">
        <v>179</v>
      </c>
      <c r="C44" s="1715" t="s">
        <v>149</v>
      </c>
      <c r="D44" s="1716" t="s">
        <v>150</v>
      </c>
      <c r="E44" s="1715" t="s">
        <v>392</v>
      </c>
      <c r="F44" s="1716" t="s">
        <v>393</v>
      </c>
      <c r="G44" s="1717" t="s">
        <v>81</v>
      </c>
      <c r="H44" s="1718">
        <v>54</v>
      </c>
      <c r="I44" s="1719">
        <f t="shared" si="0"/>
        <v>329112000</v>
      </c>
      <c r="J44" s="1719">
        <v>0</v>
      </c>
      <c r="K44" s="1719">
        <v>0</v>
      </c>
      <c r="L44" s="1719">
        <v>150500000</v>
      </c>
      <c r="M44" s="1719">
        <v>45412000</v>
      </c>
      <c r="N44" s="1719">
        <v>45000000</v>
      </c>
      <c r="O44" s="1719"/>
      <c r="P44" s="1719">
        <v>0</v>
      </c>
      <c r="Q44" s="1719">
        <v>0</v>
      </c>
      <c r="R44" s="1720">
        <v>88200000</v>
      </c>
      <c r="S44" s="1722"/>
      <c r="T44" s="1721"/>
    </row>
    <row r="45" spans="1:20" s="206" customFormat="1">
      <c r="A45" s="1713"/>
      <c r="B45" s="1714" t="s">
        <v>179</v>
      </c>
      <c r="C45" s="1715" t="s">
        <v>149</v>
      </c>
      <c r="D45" s="1716" t="s">
        <v>150</v>
      </c>
      <c r="E45" s="1715" t="s">
        <v>392</v>
      </c>
      <c r="F45" s="1716" t="s">
        <v>393</v>
      </c>
      <c r="G45" s="1717" t="s">
        <v>82</v>
      </c>
      <c r="H45" s="1718">
        <v>54</v>
      </c>
      <c r="I45" s="1719">
        <f t="shared" si="0"/>
        <v>329112000</v>
      </c>
      <c r="J45" s="1719">
        <v>0</v>
      </c>
      <c r="K45" s="1719">
        <v>0</v>
      </c>
      <c r="L45" s="1719">
        <v>150500000</v>
      </c>
      <c r="M45" s="1719">
        <v>45412000</v>
      </c>
      <c r="N45" s="1719">
        <v>45000000</v>
      </c>
      <c r="O45" s="1719"/>
      <c r="P45" s="1719">
        <v>0</v>
      </c>
      <c r="Q45" s="1719">
        <v>0</v>
      </c>
      <c r="R45" s="1720">
        <v>88200000</v>
      </c>
      <c r="S45" s="1722"/>
      <c r="T45" s="1721"/>
    </row>
    <row r="46" spans="1:20" s="206" customFormat="1">
      <c r="A46" s="1713"/>
      <c r="B46" s="1714" t="s">
        <v>179</v>
      </c>
      <c r="C46" s="1715" t="s">
        <v>149</v>
      </c>
      <c r="D46" s="1716" t="s">
        <v>150</v>
      </c>
      <c r="E46" s="1715" t="s">
        <v>392</v>
      </c>
      <c r="F46" s="1716" t="s">
        <v>393</v>
      </c>
      <c r="G46" s="1717" t="s">
        <v>83</v>
      </c>
      <c r="H46" s="1718">
        <v>54</v>
      </c>
      <c r="I46" s="1719">
        <f t="shared" si="0"/>
        <v>137398654</v>
      </c>
      <c r="J46" s="1719">
        <v>0</v>
      </c>
      <c r="K46" s="1719">
        <v>0</v>
      </c>
      <c r="L46" s="1719">
        <v>62566162</v>
      </c>
      <c r="M46" s="1719">
        <v>16797050</v>
      </c>
      <c r="N46" s="1719">
        <v>18784868</v>
      </c>
      <c r="O46" s="1719"/>
      <c r="P46" s="1719">
        <v>0</v>
      </c>
      <c r="Q46" s="1719">
        <v>0</v>
      </c>
      <c r="R46" s="1720">
        <v>39250574</v>
      </c>
      <c r="S46" s="1722"/>
      <c r="T46" s="1721"/>
    </row>
    <row r="47" spans="1:20" s="206" customFormat="1">
      <c r="A47" s="1713"/>
      <c r="B47" s="1714" t="s">
        <v>179</v>
      </c>
      <c r="C47" s="1715" t="s">
        <v>149</v>
      </c>
      <c r="D47" s="1716" t="s">
        <v>150</v>
      </c>
      <c r="E47" s="1715" t="s">
        <v>394</v>
      </c>
      <c r="F47" s="1716" t="s">
        <v>395</v>
      </c>
      <c r="G47" s="1717" t="s">
        <v>81</v>
      </c>
      <c r="H47" s="1718">
        <v>110</v>
      </c>
      <c r="I47" s="1719">
        <f>K47</f>
        <v>1326942841</v>
      </c>
      <c r="J47" s="1719">
        <v>0</v>
      </c>
      <c r="K47" s="1719">
        <v>1326942841</v>
      </c>
      <c r="L47" s="1719">
        <v>0</v>
      </c>
      <c r="M47" s="1719">
        <v>0</v>
      </c>
      <c r="N47" s="1719">
        <v>0</v>
      </c>
      <c r="O47" s="1719"/>
      <c r="P47" s="1719">
        <v>0</v>
      </c>
      <c r="Q47" s="1719">
        <v>0</v>
      </c>
      <c r="R47" s="1720">
        <v>0</v>
      </c>
      <c r="S47" s="1722"/>
      <c r="T47" s="1722"/>
    </row>
    <row r="48" spans="1:20" s="206" customFormat="1">
      <c r="A48" s="1713"/>
      <c r="B48" s="1714" t="s">
        <v>179</v>
      </c>
      <c r="C48" s="1715" t="s">
        <v>149</v>
      </c>
      <c r="D48" s="1716" t="s">
        <v>150</v>
      </c>
      <c r="E48" s="1715" t="s">
        <v>394</v>
      </c>
      <c r="F48" s="1716" t="s">
        <v>395</v>
      </c>
      <c r="G48" s="1717" t="s">
        <v>82</v>
      </c>
      <c r="H48" s="1718">
        <v>110</v>
      </c>
      <c r="I48" s="1719">
        <f t="shared" ref="I48:I111" si="1">K48</f>
        <v>1326942841</v>
      </c>
      <c r="J48" s="1719">
        <v>0</v>
      </c>
      <c r="K48" s="1719">
        <v>1326942841</v>
      </c>
      <c r="L48" s="1719">
        <v>0</v>
      </c>
      <c r="M48" s="1719">
        <v>0</v>
      </c>
      <c r="N48" s="1719">
        <v>0</v>
      </c>
      <c r="O48" s="1719"/>
      <c r="P48" s="1719">
        <v>0</v>
      </c>
      <c r="Q48" s="1719">
        <v>0</v>
      </c>
      <c r="R48" s="1720">
        <v>0</v>
      </c>
      <c r="S48" s="1722"/>
      <c r="T48" s="1722"/>
    </row>
    <row r="49" spans="1:18" s="206" customFormat="1">
      <c r="A49" s="1713"/>
      <c r="B49" s="1714" t="s">
        <v>179</v>
      </c>
      <c r="C49" s="1715" t="s">
        <v>149</v>
      </c>
      <c r="D49" s="1716" t="s">
        <v>150</v>
      </c>
      <c r="E49" s="1715" t="s">
        <v>394</v>
      </c>
      <c r="F49" s="1716" t="s">
        <v>395</v>
      </c>
      <c r="G49" s="1717" t="s">
        <v>83</v>
      </c>
      <c r="H49" s="1718">
        <v>0</v>
      </c>
      <c r="I49" s="1719">
        <f t="shared" si="1"/>
        <v>0</v>
      </c>
      <c r="J49" s="1719">
        <v>0</v>
      </c>
      <c r="K49" s="1719">
        <v>0</v>
      </c>
      <c r="L49" s="1719">
        <v>0</v>
      </c>
      <c r="M49" s="1719">
        <v>0</v>
      </c>
      <c r="N49" s="1719">
        <v>0</v>
      </c>
      <c r="O49" s="1719"/>
      <c r="P49" s="1719">
        <v>0</v>
      </c>
      <c r="Q49" s="1719">
        <v>0</v>
      </c>
      <c r="R49" s="1720">
        <v>0</v>
      </c>
    </row>
    <row r="50" spans="1:18" s="206" customFormat="1" ht="24" customHeight="1">
      <c r="A50" s="1713"/>
      <c r="B50" s="1714" t="s">
        <v>179</v>
      </c>
      <c r="C50" s="1715" t="s">
        <v>149</v>
      </c>
      <c r="D50" s="1716" t="s">
        <v>150</v>
      </c>
      <c r="E50" s="1715" t="s">
        <v>396</v>
      </c>
      <c r="F50" s="1716" t="s">
        <v>574</v>
      </c>
      <c r="G50" s="1717" t="s">
        <v>81</v>
      </c>
      <c r="H50" s="1718">
        <v>18</v>
      </c>
      <c r="I50" s="1719">
        <f t="shared" si="1"/>
        <v>42400000</v>
      </c>
      <c r="J50" s="1719">
        <v>0</v>
      </c>
      <c r="K50" s="1719">
        <v>42400000</v>
      </c>
      <c r="L50" s="1719">
        <v>0</v>
      </c>
      <c r="M50" s="1719">
        <v>0</v>
      </c>
      <c r="N50" s="1719">
        <v>0</v>
      </c>
      <c r="O50" s="1719"/>
      <c r="P50" s="1719">
        <v>0</v>
      </c>
      <c r="Q50" s="1719">
        <v>0</v>
      </c>
      <c r="R50" s="1720">
        <v>0</v>
      </c>
    </row>
    <row r="51" spans="1:18" s="206" customFormat="1" ht="24" customHeight="1">
      <c r="A51" s="1713"/>
      <c r="B51" s="1714" t="s">
        <v>179</v>
      </c>
      <c r="C51" s="1715" t="s">
        <v>149</v>
      </c>
      <c r="D51" s="1716" t="s">
        <v>150</v>
      </c>
      <c r="E51" s="1715" t="s">
        <v>396</v>
      </c>
      <c r="F51" s="1716" t="s">
        <v>574</v>
      </c>
      <c r="G51" s="1717" t="s">
        <v>82</v>
      </c>
      <c r="H51" s="1718">
        <v>18</v>
      </c>
      <c r="I51" s="1719">
        <f t="shared" si="1"/>
        <v>42400000</v>
      </c>
      <c r="J51" s="1719">
        <v>0</v>
      </c>
      <c r="K51" s="1719">
        <v>42400000</v>
      </c>
      <c r="L51" s="1719">
        <v>0</v>
      </c>
      <c r="M51" s="1719">
        <v>0</v>
      </c>
      <c r="N51" s="1719">
        <v>0</v>
      </c>
      <c r="O51" s="1719"/>
      <c r="P51" s="1719">
        <v>0</v>
      </c>
      <c r="Q51" s="1719">
        <v>0</v>
      </c>
      <c r="R51" s="1720">
        <v>0</v>
      </c>
    </row>
    <row r="52" spans="1:18" s="206" customFormat="1" ht="24" customHeight="1">
      <c r="A52" s="1713"/>
      <c r="B52" s="1714" t="s">
        <v>179</v>
      </c>
      <c r="C52" s="1715" t="s">
        <v>149</v>
      </c>
      <c r="D52" s="1716" t="s">
        <v>150</v>
      </c>
      <c r="E52" s="1715" t="s">
        <v>396</v>
      </c>
      <c r="F52" s="1716" t="s">
        <v>574</v>
      </c>
      <c r="G52" s="1717" t="s">
        <v>83</v>
      </c>
      <c r="H52" s="1723">
        <v>13.945716398523984</v>
      </c>
      <c r="I52" s="1719">
        <f t="shared" si="1"/>
        <v>0</v>
      </c>
      <c r="J52" s="1719">
        <v>0</v>
      </c>
      <c r="K52" s="1719">
        <v>0</v>
      </c>
      <c r="L52" s="1719">
        <v>0</v>
      </c>
      <c r="M52" s="1719">
        <v>0</v>
      </c>
      <c r="N52" s="1719">
        <v>0</v>
      </c>
      <c r="O52" s="1719"/>
      <c r="P52" s="1719">
        <v>0</v>
      </c>
      <c r="Q52" s="1719">
        <v>0</v>
      </c>
      <c r="R52" s="1720">
        <v>0</v>
      </c>
    </row>
    <row r="53" spans="1:18" s="206" customFormat="1" ht="24" customHeight="1">
      <c r="A53" s="1713"/>
      <c r="B53" s="1714" t="s">
        <v>179</v>
      </c>
      <c r="C53" s="1715" t="s">
        <v>149</v>
      </c>
      <c r="D53" s="1716" t="s">
        <v>150</v>
      </c>
      <c r="E53" s="1715" t="s">
        <v>397</v>
      </c>
      <c r="F53" s="1716" t="s">
        <v>575</v>
      </c>
      <c r="G53" s="1717" t="s">
        <v>81</v>
      </c>
      <c r="H53" s="1718">
        <v>1</v>
      </c>
      <c r="I53" s="1719">
        <f t="shared" si="1"/>
        <v>0</v>
      </c>
      <c r="J53" s="1719">
        <v>0</v>
      </c>
      <c r="K53" s="1719">
        <v>0</v>
      </c>
      <c r="L53" s="1719">
        <v>0</v>
      </c>
      <c r="M53" s="1719">
        <v>0</v>
      </c>
      <c r="N53" s="1719">
        <v>0</v>
      </c>
      <c r="O53" s="1719"/>
      <c r="P53" s="1719">
        <v>0</v>
      </c>
      <c r="Q53" s="1719">
        <v>0</v>
      </c>
      <c r="R53" s="1720">
        <v>0</v>
      </c>
    </row>
    <row r="54" spans="1:18" s="206" customFormat="1" ht="24" customHeight="1">
      <c r="A54" s="1713"/>
      <c r="B54" s="1714" t="s">
        <v>179</v>
      </c>
      <c r="C54" s="1715" t="s">
        <v>149</v>
      </c>
      <c r="D54" s="1716" t="s">
        <v>150</v>
      </c>
      <c r="E54" s="1715" t="s">
        <v>397</v>
      </c>
      <c r="F54" s="1716" t="s">
        <v>575</v>
      </c>
      <c r="G54" s="1717" t="s">
        <v>82</v>
      </c>
      <c r="H54" s="1718">
        <v>1</v>
      </c>
      <c r="I54" s="1719">
        <f t="shared" si="1"/>
        <v>0</v>
      </c>
      <c r="J54" s="1719">
        <v>0</v>
      </c>
      <c r="K54" s="1719">
        <v>0</v>
      </c>
      <c r="L54" s="1719">
        <v>0</v>
      </c>
      <c r="M54" s="1719">
        <v>0</v>
      </c>
      <c r="N54" s="1719">
        <v>0</v>
      </c>
      <c r="O54" s="1719"/>
      <c r="P54" s="1719">
        <v>0</v>
      </c>
      <c r="Q54" s="1719">
        <v>0</v>
      </c>
      <c r="R54" s="1720">
        <v>0</v>
      </c>
    </row>
    <row r="55" spans="1:18" s="206" customFormat="1" ht="24" customHeight="1">
      <c r="A55" s="1713"/>
      <c r="B55" s="1714" t="s">
        <v>179</v>
      </c>
      <c r="C55" s="1715" t="s">
        <v>149</v>
      </c>
      <c r="D55" s="1716" t="s">
        <v>150</v>
      </c>
      <c r="E55" s="1715" t="s">
        <v>397</v>
      </c>
      <c r="F55" s="1716" t="s">
        <v>575</v>
      </c>
      <c r="G55" s="1717" t="s">
        <v>83</v>
      </c>
      <c r="H55" s="1718">
        <v>0</v>
      </c>
      <c r="I55" s="1719">
        <f t="shared" si="1"/>
        <v>0</v>
      </c>
      <c r="J55" s="1719">
        <v>0</v>
      </c>
      <c r="K55" s="1719">
        <v>0</v>
      </c>
      <c r="L55" s="1719">
        <v>0</v>
      </c>
      <c r="M55" s="1719">
        <v>0</v>
      </c>
      <c r="N55" s="1719">
        <v>0</v>
      </c>
      <c r="O55" s="1719"/>
      <c r="P55" s="1719">
        <v>0</v>
      </c>
      <c r="Q55" s="1719">
        <v>0</v>
      </c>
      <c r="R55" s="1720">
        <v>0</v>
      </c>
    </row>
    <row r="56" spans="1:18" s="206" customFormat="1">
      <c r="A56" s="1713"/>
      <c r="B56" s="1714" t="s">
        <v>179</v>
      </c>
      <c r="C56" s="1715" t="s">
        <v>149</v>
      </c>
      <c r="D56" s="1716" t="s">
        <v>150</v>
      </c>
      <c r="E56" s="1715" t="s">
        <v>398</v>
      </c>
      <c r="F56" s="1716" t="s">
        <v>399</v>
      </c>
      <c r="G56" s="1717" t="s">
        <v>81</v>
      </c>
      <c r="H56" s="1718">
        <v>1</v>
      </c>
      <c r="I56" s="1719">
        <f t="shared" si="1"/>
        <v>0</v>
      </c>
      <c r="J56" s="1719">
        <v>0</v>
      </c>
      <c r="K56" s="1719">
        <v>0</v>
      </c>
      <c r="L56" s="1719">
        <v>0</v>
      </c>
      <c r="M56" s="1719">
        <v>0</v>
      </c>
      <c r="N56" s="1719">
        <v>0</v>
      </c>
      <c r="O56" s="1719"/>
      <c r="P56" s="1719">
        <v>0</v>
      </c>
      <c r="Q56" s="1719">
        <v>0</v>
      </c>
      <c r="R56" s="1720">
        <v>0</v>
      </c>
    </row>
    <row r="57" spans="1:18" s="206" customFormat="1">
      <c r="A57" s="1713"/>
      <c r="B57" s="1714" t="s">
        <v>179</v>
      </c>
      <c r="C57" s="1715" t="s">
        <v>149</v>
      </c>
      <c r="D57" s="1716" t="s">
        <v>150</v>
      </c>
      <c r="E57" s="1715" t="s">
        <v>398</v>
      </c>
      <c r="F57" s="1716" t="s">
        <v>399</v>
      </c>
      <c r="G57" s="1717" t="s">
        <v>82</v>
      </c>
      <c r="H57" s="1718">
        <v>0</v>
      </c>
      <c r="I57" s="1719">
        <f t="shared" si="1"/>
        <v>0</v>
      </c>
      <c r="J57" s="1719">
        <v>0</v>
      </c>
      <c r="K57" s="1719">
        <v>0</v>
      </c>
      <c r="L57" s="1719">
        <v>0</v>
      </c>
      <c r="M57" s="1719">
        <v>0</v>
      </c>
      <c r="N57" s="1719">
        <v>0</v>
      </c>
      <c r="O57" s="1719"/>
      <c r="P57" s="1719">
        <v>0</v>
      </c>
      <c r="Q57" s="1719">
        <v>0</v>
      </c>
      <c r="R57" s="1720">
        <v>0</v>
      </c>
    </row>
    <row r="58" spans="1:18" s="206" customFormat="1">
      <c r="A58" s="1713"/>
      <c r="B58" s="1714" t="s">
        <v>179</v>
      </c>
      <c r="C58" s="1715" t="s">
        <v>149</v>
      </c>
      <c r="D58" s="1716" t="s">
        <v>150</v>
      </c>
      <c r="E58" s="1715" t="s">
        <v>398</v>
      </c>
      <c r="F58" s="1716" t="s">
        <v>399</v>
      </c>
      <c r="G58" s="1717" t="s">
        <v>83</v>
      </c>
      <c r="H58" s="1718">
        <v>0</v>
      </c>
      <c r="I58" s="1719">
        <f t="shared" si="1"/>
        <v>0</v>
      </c>
      <c r="J58" s="1719">
        <v>0</v>
      </c>
      <c r="K58" s="1719">
        <v>0</v>
      </c>
      <c r="L58" s="1719">
        <v>0</v>
      </c>
      <c r="M58" s="1719">
        <v>0</v>
      </c>
      <c r="N58" s="1719">
        <v>0</v>
      </c>
      <c r="O58" s="1719"/>
      <c r="P58" s="1719">
        <v>0</v>
      </c>
      <c r="Q58" s="1719">
        <v>0</v>
      </c>
      <c r="R58" s="1720">
        <v>0</v>
      </c>
    </row>
    <row r="59" spans="1:18" s="206" customFormat="1">
      <c r="A59" s="1713"/>
      <c r="B59" s="1714" t="s">
        <v>179</v>
      </c>
      <c r="C59" s="1715" t="s">
        <v>149</v>
      </c>
      <c r="D59" s="1716" t="s">
        <v>150</v>
      </c>
      <c r="E59" s="1715" t="s">
        <v>400</v>
      </c>
      <c r="F59" s="1716" t="s">
        <v>401</v>
      </c>
      <c r="G59" s="1717" t="s">
        <v>81</v>
      </c>
      <c r="H59" s="1718">
        <v>100</v>
      </c>
      <c r="I59" s="1719">
        <f t="shared" si="1"/>
        <v>8500000</v>
      </c>
      <c r="J59" s="1719">
        <v>0</v>
      </c>
      <c r="K59" s="1719">
        <v>8500000</v>
      </c>
      <c r="L59" s="1719">
        <v>0</v>
      </c>
      <c r="M59" s="1719">
        <v>0</v>
      </c>
      <c r="N59" s="1719">
        <v>0</v>
      </c>
      <c r="O59" s="1719"/>
      <c r="P59" s="1719">
        <v>0</v>
      </c>
      <c r="Q59" s="1719">
        <v>0</v>
      </c>
      <c r="R59" s="1720">
        <v>0</v>
      </c>
    </row>
    <row r="60" spans="1:18" s="206" customFormat="1">
      <c r="A60" s="1713"/>
      <c r="B60" s="1714" t="s">
        <v>179</v>
      </c>
      <c r="C60" s="1715" t="s">
        <v>149</v>
      </c>
      <c r="D60" s="1716" t="s">
        <v>150</v>
      </c>
      <c r="E60" s="1715" t="s">
        <v>400</v>
      </c>
      <c r="F60" s="1716" t="s">
        <v>401</v>
      </c>
      <c r="G60" s="1717" t="s">
        <v>82</v>
      </c>
      <c r="H60" s="1718">
        <v>160</v>
      </c>
      <c r="I60" s="1719">
        <f t="shared" si="1"/>
        <v>8500000</v>
      </c>
      <c r="J60" s="1719">
        <v>0</v>
      </c>
      <c r="K60" s="1719">
        <v>8500000</v>
      </c>
      <c r="L60" s="1719">
        <v>0</v>
      </c>
      <c r="M60" s="1719">
        <v>0</v>
      </c>
      <c r="N60" s="1719">
        <v>0</v>
      </c>
      <c r="O60" s="1719"/>
      <c r="P60" s="1719">
        <v>0</v>
      </c>
      <c r="Q60" s="1719">
        <v>0</v>
      </c>
      <c r="R60" s="1720">
        <v>0</v>
      </c>
    </row>
    <row r="61" spans="1:18" s="206" customFormat="1">
      <c r="A61" s="1713"/>
      <c r="B61" s="1714" t="s">
        <v>179</v>
      </c>
      <c r="C61" s="1715" t="s">
        <v>149</v>
      </c>
      <c r="D61" s="1716" t="s">
        <v>150</v>
      </c>
      <c r="E61" s="1715" t="s">
        <v>400</v>
      </c>
      <c r="F61" s="1716" t="s">
        <v>401</v>
      </c>
      <c r="G61" s="1717" t="s">
        <v>83</v>
      </c>
      <c r="H61" s="1719">
        <v>90</v>
      </c>
      <c r="I61" s="1719">
        <f t="shared" si="1"/>
        <v>8100000</v>
      </c>
      <c r="J61" s="1719">
        <v>0</v>
      </c>
      <c r="K61" s="1719">
        <v>8100000</v>
      </c>
      <c r="L61" s="1719">
        <v>0</v>
      </c>
      <c r="M61" s="1719">
        <v>0</v>
      </c>
      <c r="N61" s="1719">
        <v>0</v>
      </c>
      <c r="O61" s="1719"/>
      <c r="P61" s="1719">
        <v>0</v>
      </c>
      <c r="Q61" s="1719">
        <v>0</v>
      </c>
      <c r="R61" s="1720">
        <v>0</v>
      </c>
    </row>
    <row r="62" spans="1:18" s="206" customFormat="1" ht="24" customHeight="1">
      <c r="A62" s="1713"/>
      <c r="B62" s="1714" t="s">
        <v>179</v>
      </c>
      <c r="C62" s="1715" t="s">
        <v>149</v>
      </c>
      <c r="D62" s="1716" t="s">
        <v>150</v>
      </c>
      <c r="E62" s="1715" t="s">
        <v>402</v>
      </c>
      <c r="F62" s="1716" t="s">
        <v>576</v>
      </c>
      <c r="G62" s="1717" t="s">
        <v>81</v>
      </c>
      <c r="H62" s="1718">
        <v>0</v>
      </c>
      <c r="I62" s="1719">
        <f t="shared" si="1"/>
        <v>0</v>
      </c>
      <c r="J62" s="1719">
        <v>0</v>
      </c>
      <c r="K62" s="1719">
        <v>0</v>
      </c>
      <c r="L62" s="1719">
        <v>0</v>
      </c>
      <c r="M62" s="1719">
        <v>0</v>
      </c>
      <c r="N62" s="1719">
        <v>0</v>
      </c>
      <c r="O62" s="1719"/>
      <c r="P62" s="1719">
        <v>0</v>
      </c>
      <c r="Q62" s="1719">
        <v>0</v>
      </c>
      <c r="R62" s="1720">
        <v>0</v>
      </c>
    </row>
    <row r="63" spans="1:18" s="206" customFormat="1" ht="24" customHeight="1">
      <c r="A63" s="1713"/>
      <c r="B63" s="1714" t="s">
        <v>179</v>
      </c>
      <c r="C63" s="1715" t="s">
        <v>149</v>
      </c>
      <c r="D63" s="1716" t="s">
        <v>150</v>
      </c>
      <c r="E63" s="1715" t="s">
        <v>402</v>
      </c>
      <c r="F63" s="1716" t="s">
        <v>576</v>
      </c>
      <c r="G63" s="1717" t="s">
        <v>82</v>
      </c>
      <c r="H63" s="1718">
        <v>0</v>
      </c>
      <c r="I63" s="1719">
        <f t="shared" si="1"/>
        <v>0</v>
      </c>
      <c r="J63" s="1719">
        <v>0</v>
      </c>
      <c r="K63" s="1719">
        <v>0</v>
      </c>
      <c r="L63" s="1719">
        <v>0</v>
      </c>
      <c r="M63" s="1719">
        <v>0</v>
      </c>
      <c r="N63" s="1719">
        <v>0</v>
      </c>
      <c r="O63" s="1719"/>
      <c r="P63" s="1719">
        <v>0</v>
      </c>
      <c r="Q63" s="1719">
        <v>0</v>
      </c>
      <c r="R63" s="1720">
        <v>0</v>
      </c>
    </row>
    <row r="64" spans="1:18" s="206" customFormat="1" ht="24" customHeight="1">
      <c r="A64" s="1713"/>
      <c r="B64" s="1714" t="s">
        <v>179</v>
      </c>
      <c r="C64" s="1715" t="s">
        <v>149</v>
      </c>
      <c r="D64" s="1716" t="s">
        <v>150</v>
      </c>
      <c r="E64" s="1715" t="s">
        <v>402</v>
      </c>
      <c r="F64" s="1716" t="s">
        <v>576</v>
      </c>
      <c r="G64" s="1717" t="s">
        <v>83</v>
      </c>
      <c r="H64" s="1718">
        <v>0</v>
      </c>
      <c r="I64" s="1719">
        <f t="shared" si="1"/>
        <v>0</v>
      </c>
      <c r="J64" s="1719">
        <v>0</v>
      </c>
      <c r="K64" s="1719">
        <v>0</v>
      </c>
      <c r="L64" s="1719">
        <v>0</v>
      </c>
      <c r="M64" s="1719">
        <v>0</v>
      </c>
      <c r="N64" s="1719">
        <v>0</v>
      </c>
      <c r="O64" s="1719"/>
      <c r="P64" s="1719">
        <v>0</v>
      </c>
      <c r="Q64" s="1719">
        <v>0</v>
      </c>
      <c r="R64" s="1720">
        <v>0</v>
      </c>
    </row>
    <row r="65" spans="1:18" s="206" customFormat="1" ht="24" customHeight="1">
      <c r="A65" s="1713"/>
      <c r="B65" s="1714" t="s">
        <v>179</v>
      </c>
      <c r="C65" s="1715" t="s">
        <v>149</v>
      </c>
      <c r="D65" s="1716" t="s">
        <v>150</v>
      </c>
      <c r="E65" s="1715" t="s">
        <v>403</v>
      </c>
      <c r="F65" s="1716" t="s">
        <v>577</v>
      </c>
      <c r="G65" s="1717" t="s">
        <v>81</v>
      </c>
      <c r="H65" s="1718">
        <v>0</v>
      </c>
      <c r="I65" s="1719">
        <f t="shared" si="1"/>
        <v>0</v>
      </c>
      <c r="J65" s="1719">
        <v>0</v>
      </c>
      <c r="K65" s="1719">
        <v>0</v>
      </c>
      <c r="L65" s="1719">
        <v>0</v>
      </c>
      <c r="M65" s="1719">
        <v>0</v>
      </c>
      <c r="N65" s="1719">
        <v>0</v>
      </c>
      <c r="O65" s="1719"/>
      <c r="P65" s="1719">
        <v>0</v>
      </c>
      <c r="Q65" s="1719">
        <v>0</v>
      </c>
      <c r="R65" s="1720">
        <v>0</v>
      </c>
    </row>
    <row r="66" spans="1:18" s="206" customFormat="1" ht="24" customHeight="1">
      <c r="A66" s="1713"/>
      <c r="B66" s="1714" t="s">
        <v>179</v>
      </c>
      <c r="C66" s="1715" t="s">
        <v>149</v>
      </c>
      <c r="D66" s="1716" t="s">
        <v>150</v>
      </c>
      <c r="E66" s="1715" t="s">
        <v>403</v>
      </c>
      <c r="F66" s="1716" t="s">
        <v>577</v>
      </c>
      <c r="G66" s="1717" t="s">
        <v>82</v>
      </c>
      <c r="H66" s="1718">
        <v>0</v>
      </c>
      <c r="I66" s="1719">
        <f t="shared" si="1"/>
        <v>0</v>
      </c>
      <c r="J66" s="1719">
        <v>0</v>
      </c>
      <c r="K66" s="1719">
        <v>0</v>
      </c>
      <c r="L66" s="1719">
        <v>0</v>
      </c>
      <c r="M66" s="1719">
        <v>0</v>
      </c>
      <c r="N66" s="1719">
        <v>0</v>
      </c>
      <c r="O66" s="1719"/>
      <c r="P66" s="1719">
        <v>0</v>
      </c>
      <c r="Q66" s="1719">
        <v>0</v>
      </c>
      <c r="R66" s="1720">
        <v>0</v>
      </c>
    </row>
    <row r="67" spans="1:18" s="206" customFormat="1" ht="24" customHeight="1">
      <c r="A67" s="1713"/>
      <c r="B67" s="1714" t="s">
        <v>179</v>
      </c>
      <c r="C67" s="1715" t="s">
        <v>149</v>
      </c>
      <c r="D67" s="1716" t="s">
        <v>150</v>
      </c>
      <c r="E67" s="1715" t="s">
        <v>403</v>
      </c>
      <c r="F67" s="1716" t="s">
        <v>577</v>
      </c>
      <c r="G67" s="1717" t="s">
        <v>83</v>
      </c>
      <c r="H67" s="1718">
        <v>0</v>
      </c>
      <c r="I67" s="1719">
        <f t="shared" si="1"/>
        <v>0</v>
      </c>
      <c r="J67" s="1719">
        <v>0</v>
      </c>
      <c r="K67" s="1719">
        <v>0</v>
      </c>
      <c r="L67" s="1719">
        <v>0</v>
      </c>
      <c r="M67" s="1719">
        <v>0</v>
      </c>
      <c r="N67" s="1719">
        <v>0</v>
      </c>
      <c r="O67" s="1719"/>
      <c r="P67" s="1719">
        <v>0</v>
      </c>
      <c r="Q67" s="1719">
        <v>0</v>
      </c>
      <c r="R67" s="1720">
        <v>0</v>
      </c>
    </row>
    <row r="68" spans="1:18" s="206" customFormat="1" ht="24" customHeight="1">
      <c r="A68" s="1713"/>
      <c r="B68" s="1714" t="s">
        <v>179</v>
      </c>
      <c r="C68" s="1715" t="s">
        <v>149</v>
      </c>
      <c r="D68" s="1716" t="s">
        <v>150</v>
      </c>
      <c r="E68" s="1715" t="s">
        <v>404</v>
      </c>
      <c r="F68" s="1716" t="s">
        <v>578</v>
      </c>
      <c r="G68" s="1717" t="s">
        <v>81</v>
      </c>
      <c r="H68" s="1718">
        <v>1</v>
      </c>
      <c r="I68" s="1719">
        <f t="shared" si="1"/>
        <v>10000000</v>
      </c>
      <c r="J68" s="1719">
        <v>0</v>
      </c>
      <c r="K68" s="1719">
        <v>10000000</v>
      </c>
      <c r="L68" s="1719">
        <v>0</v>
      </c>
      <c r="M68" s="1719">
        <v>0</v>
      </c>
      <c r="N68" s="1719">
        <v>0</v>
      </c>
      <c r="O68" s="1719"/>
      <c r="P68" s="1719">
        <v>0</v>
      </c>
      <c r="Q68" s="1719">
        <v>0</v>
      </c>
      <c r="R68" s="1720">
        <v>0</v>
      </c>
    </row>
    <row r="69" spans="1:18" s="206" customFormat="1" ht="24" customHeight="1">
      <c r="A69" s="1713"/>
      <c r="B69" s="1714" t="s">
        <v>179</v>
      </c>
      <c r="C69" s="1715" t="s">
        <v>149</v>
      </c>
      <c r="D69" s="1716" t="s">
        <v>150</v>
      </c>
      <c r="E69" s="1715" t="s">
        <v>404</v>
      </c>
      <c r="F69" s="1716" t="s">
        <v>578</v>
      </c>
      <c r="G69" s="1717" t="s">
        <v>82</v>
      </c>
      <c r="H69" s="1718">
        <v>1</v>
      </c>
      <c r="I69" s="1719">
        <f t="shared" si="1"/>
        <v>10000000</v>
      </c>
      <c r="J69" s="1719">
        <v>0</v>
      </c>
      <c r="K69" s="1719">
        <v>10000000</v>
      </c>
      <c r="L69" s="1719">
        <v>0</v>
      </c>
      <c r="M69" s="1719">
        <v>0</v>
      </c>
      <c r="N69" s="1719">
        <v>0</v>
      </c>
      <c r="O69" s="1719"/>
      <c r="P69" s="1719">
        <v>0</v>
      </c>
      <c r="Q69" s="1719">
        <v>0</v>
      </c>
      <c r="R69" s="1720">
        <v>0</v>
      </c>
    </row>
    <row r="70" spans="1:18" s="206" customFormat="1" ht="24" customHeight="1">
      <c r="A70" s="1713"/>
      <c r="B70" s="1714" t="s">
        <v>179</v>
      </c>
      <c r="C70" s="1715" t="s">
        <v>149</v>
      </c>
      <c r="D70" s="1716" t="s">
        <v>150</v>
      </c>
      <c r="E70" s="1715" t="s">
        <v>404</v>
      </c>
      <c r="F70" s="1716" t="s">
        <v>578</v>
      </c>
      <c r="G70" s="1717" t="s">
        <v>83</v>
      </c>
      <c r="H70" s="1718">
        <v>0</v>
      </c>
      <c r="I70" s="1719">
        <f t="shared" si="1"/>
        <v>0</v>
      </c>
      <c r="J70" s="1719">
        <v>0</v>
      </c>
      <c r="K70" s="1719">
        <v>0</v>
      </c>
      <c r="L70" s="1719">
        <v>0</v>
      </c>
      <c r="M70" s="1719">
        <v>0</v>
      </c>
      <c r="N70" s="1719">
        <v>0</v>
      </c>
      <c r="O70" s="1719"/>
      <c r="P70" s="1719">
        <v>0</v>
      </c>
      <c r="Q70" s="1719">
        <v>0</v>
      </c>
      <c r="R70" s="1720">
        <v>0</v>
      </c>
    </row>
    <row r="71" spans="1:18" s="206" customFormat="1">
      <c r="A71" s="1713"/>
      <c r="B71" s="1714" t="s">
        <v>179</v>
      </c>
      <c r="C71" s="1715" t="s">
        <v>149</v>
      </c>
      <c r="D71" s="1716" t="s">
        <v>150</v>
      </c>
      <c r="E71" s="1715" t="s">
        <v>405</v>
      </c>
      <c r="F71" s="1716" t="s">
        <v>406</v>
      </c>
      <c r="G71" s="1717" t="s">
        <v>81</v>
      </c>
      <c r="H71" s="1718">
        <v>0</v>
      </c>
      <c r="I71" s="1719">
        <f t="shared" si="1"/>
        <v>0</v>
      </c>
      <c r="J71" s="1719">
        <v>0</v>
      </c>
      <c r="K71" s="1719">
        <v>0</v>
      </c>
      <c r="L71" s="1719">
        <v>0</v>
      </c>
      <c r="M71" s="1719">
        <v>0</v>
      </c>
      <c r="N71" s="1719">
        <v>0</v>
      </c>
      <c r="O71" s="1719"/>
      <c r="P71" s="1719">
        <v>0</v>
      </c>
      <c r="Q71" s="1719">
        <v>0</v>
      </c>
      <c r="R71" s="1720">
        <v>0</v>
      </c>
    </row>
    <row r="72" spans="1:18" s="206" customFormat="1">
      <c r="A72" s="1713"/>
      <c r="B72" s="1714" t="s">
        <v>179</v>
      </c>
      <c r="C72" s="1715" t="s">
        <v>149</v>
      </c>
      <c r="D72" s="1716" t="s">
        <v>150</v>
      </c>
      <c r="E72" s="1715" t="s">
        <v>405</v>
      </c>
      <c r="F72" s="1716" t="s">
        <v>406</v>
      </c>
      <c r="G72" s="1717" t="s">
        <v>82</v>
      </c>
      <c r="H72" s="1718">
        <v>0</v>
      </c>
      <c r="I72" s="1719">
        <f t="shared" si="1"/>
        <v>0</v>
      </c>
      <c r="J72" s="1719">
        <v>0</v>
      </c>
      <c r="K72" s="1719">
        <v>0</v>
      </c>
      <c r="L72" s="1719">
        <v>0</v>
      </c>
      <c r="M72" s="1719">
        <v>0</v>
      </c>
      <c r="N72" s="1719">
        <v>0</v>
      </c>
      <c r="O72" s="1719"/>
      <c r="P72" s="1719">
        <v>0</v>
      </c>
      <c r="Q72" s="1719">
        <v>0</v>
      </c>
      <c r="R72" s="1720">
        <v>0</v>
      </c>
    </row>
    <row r="73" spans="1:18" s="206" customFormat="1">
      <c r="A73" s="1713"/>
      <c r="B73" s="1714" t="s">
        <v>179</v>
      </c>
      <c r="C73" s="1715" t="s">
        <v>149</v>
      </c>
      <c r="D73" s="1716" t="s">
        <v>150</v>
      </c>
      <c r="E73" s="1715" t="s">
        <v>405</v>
      </c>
      <c r="F73" s="1716" t="s">
        <v>406</v>
      </c>
      <c r="G73" s="1717" t="s">
        <v>83</v>
      </c>
      <c r="H73" s="1718">
        <v>0</v>
      </c>
      <c r="I73" s="1719">
        <f t="shared" si="1"/>
        <v>0</v>
      </c>
      <c r="J73" s="1719">
        <v>0</v>
      </c>
      <c r="K73" s="1719">
        <v>0</v>
      </c>
      <c r="L73" s="1719">
        <v>0</v>
      </c>
      <c r="M73" s="1719">
        <v>0</v>
      </c>
      <c r="N73" s="1719">
        <v>0</v>
      </c>
      <c r="O73" s="1719"/>
      <c r="P73" s="1719">
        <v>0</v>
      </c>
      <c r="Q73" s="1719">
        <v>0</v>
      </c>
      <c r="R73" s="1720">
        <v>0</v>
      </c>
    </row>
    <row r="74" spans="1:18" s="206" customFormat="1">
      <c r="A74" s="1713"/>
      <c r="B74" s="1714" t="s">
        <v>179</v>
      </c>
      <c r="C74" s="1715" t="s">
        <v>149</v>
      </c>
      <c r="D74" s="1716" t="s">
        <v>150</v>
      </c>
      <c r="E74" s="1715" t="s">
        <v>407</v>
      </c>
      <c r="F74" s="1716" t="s">
        <v>408</v>
      </c>
      <c r="G74" s="1717" t="s">
        <v>81</v>
      </c>
      <c r="H74" s="1718">
        <v>0</v>
      </c>
      <c r="I74" s="1719">
        <f t="shared" si="1"/>
        <v>0</v>
      </c>
      <c r="J74" s="1719">
        <v>0</v>
      </c>
      <c r="K74" s="1719">
        <v>0</v>
      </c>
      <c r="L74" s="1719">
        <v>0</v>
      </c>
      <c r="M74" s="1719">
        <v>0</v>
      </c>
      <c r="N74" s="1719">
        <v>0</v>
      </c>
      <c r="O74" s="1719"/>
      <c r="P74" s="1719">
        <v>0</v>
      </c>
      <c r="Q74" s="1719">
        <v>0</v>
      </c>
      <c r="R74" s="1720">
        <v>0</v>
      </c>
    </row>
    <row r="75" spans="1:18" s="206" customFormat="1">
      <c r="A75" s="1713"/>
      <c r="B75" s="1714" t="s">
        <v>179</v>
      </c>
      <c r="C75" s="1715" t="s">
        <v>149</v>
      </c>
      <c r="D75" s="1716" t="s">
        <v>150</v>
      </c>
      <c r="E75" s="1715" t="s">
        <v>407</v>
      </c>
      <c r="F75" s="1716" t="s">
        <v>408</v>
      </c>
      <c r="G75" s="1717" t="s">
        <v>82</v>
      </c>
      <c r="H75" s="1718">
        <v>0</v>
      </c>
      <c r="I75" s="1719">
        <f t="shared" si="1"/>
        <v>0</v>
      </c>
      <c r="J75" s="1719">
        <v>0</v>
      </c>
      <c r="K75" s="1719">
        <v>0</v>
      </c>
      <c r="L75" s="1719">
        <v>0</v>
      </c>
      <c r="M75" s="1719">
        <v>0</v>
      </c>
      <c r="N75" s="1719">
        <v>0</v>
      </c>
      <c r="O75" s="1719"/>
      <c r="P75" s="1719">
        <v>0</v>
      </c>
      <c r="Q75" s="1719">
        <v>0</v>
      </c>
      <c r="R75" s="1720">
        <v>0</v>
      </c>
    </row>
    <row r="76" spans="1:18" s="206" customFormat="1">
      <c r="A76" s="1713"/>
      <c r="B76" s="1714" t="s">
        <v>179</v>
      </c>
      <c r="C76" s="1715" t="s">
        <v>149</v>
      </c>
      <c r="D76" s="1716" t="s">
        <v>150</v>
      </c>
      <c r="E76" s="1715" t="s">
        <v>407</v>
      </c>
      <c r="F76" s="1716" t="s">
        <v>408</v>
      </c>
      <c r="G76" s="1717" t="s">
        <v>83</v>
      </c>
      <c r="H76" s="1718">
        <v>0</v>
      </c>
      <c r="I76" s="1719">
        <f t="shared" si="1"/>
        <v>0</v>
      </c>
      <c r="J76" s="1719">
        <v>0</v>
      </c>
      <c r="K76" s="1719">
        <v>0</v>
      </c>
      <c r="L76" s="1719">
        <v>0</v>
      </c>
      <c r="M76" s="1719">
        <v>0</v>
      </c>
      <c r="N76" s="1719">
        <v>0</v>
      </c>
      <c r="O76" s="1719"/>
      <c r="P76" s="1719">
        <v>0</v>
      </c>
      <c r="Q76" s="1719">
        <v>0</v>
      </c>
      <c r="R76" s="1720">
        <v>0</v>
      </c>
    </row>
    <row r="77" spans="1:18" s="206" customFormat="1" ht="24" customHeight="1">
      <c r="A77" s="1713"/>
      <c r="B77" s="1714" t="s">
        <v>179</v>
      </c>
      <c r="C77" s="1715" t="s">
        <v>149</v>
      </c>
      <c r="D77" s="1716" t="s">
        <v>150</v>
      </c>
      <c r="E77" s="1715" t="s">
        <v>409</v>
      </c>
      <c r="F77" s="1716" t="s">
        <v>579</v>
      </c>
      <c r="G77" s="1717" t="s">
        <v>81</v>
      </c>
      <c r="H77" s="1718">
        <v>0</v>
      </c>
      <c r="I77" s="1719">
        <f t="shared" si="1"/>
        <v>0</v>
      </c>
      <c r="J77" s="1719">
        <v>0</v>
      </c>
      <c r="K77" s="1719">
        <v>0</v>
      </c>
      <c r="L77" s="1719">
        <v>0</v>
      </c>
      <c r="M77" s="1719">
        <v>0</v>
      </c>
      <c r="N77" s="1719">
        <v>0</v>
      </c>
      <c r="O77" s="1719"/>
      <c r="P77" s="1719">
        <v>0</v>
      </c>
      <c r="Q77" s="1719">
        <v>0</v>
      </c>
      <c r="R77" s="1720">
        <v>0</v>
      </c>
    </row>
    <row r="78" spans="1:18" s="206" customFormat="1" ht="24" customHeight="1">
      <c r="A78" s="1713"/>
      <c r="B78" s="1714" t="s">
        <v>179</v>
      </c>
      <c r="C78" s="1715" t="s">
        <v>149</v>
      </c>
      <c r="D78" s="1716" t="s">
        <v>150</v>
      </c>
      <c r="E78" s="1715" t="s">
        <v>409</v>
      </c>
      <c r="F78" s="1716" t="s">
        <v>579</v>
      </c>
      <c r="G78" s="1717" t="s">
        <v>82</v>
      </c>
      <c r="H78" s="1718">
        <v>0</v>
      </c>
      <c r="I78" s="1719">
        <f t="shared" si="1"/>
        <v>0</v>
      </c>
      <c r="J78" s="1719">
        <v>0</v>
      </c>
      <c r="K78" s="1719">
        <v>0</v>
      </c>
      <c r="L78" s="1719">
        <v>0</v>
      </c>
      <c r="M78" s="1719">
        <v>0</v>
      </c>
      <c r="N78" s="1719">
        <v>0</v>
      </c>
      <c r="O78" s="1719"/>
      <c r="P78" s="1719">
        <v>0</v>
      </c>
      <c r="Q78" s="1719">
        <v>0</v>
      </c>
      <c r="R78" s="1720">
        <v>0</v>
      </c>
    </row>
    <row r="79" spans="1:18" s="206" customFormat="1" ht="24" customHeight="1">
      <c r="A79" s="1713"/>
      <c r="B79" s="1714" t="s">
        <v>179</v>
      </c>
      <c r="C79" s="1715" t="s">
        <v>149</v>
      </c>
      <c r="D79" s="1716" t="s">
        <v>150</v>
      </c>
      <c r="E79" s="1715" t="s">
        <v>409</v>
      </c>
      <c r="F79" s="1716" t="s">
        <v>579</v>
      </c>
      <c r="G79" s="1717" t="s">
        <v>83</v>
      </c>
      <c r="H79" s="1718">
        <v>0</v>
      </c>
      <c r="I79" s="1719">
        <f t="shared" si="1"/>
        <v>0</v>
      </c>
      <c r="J79" s="1719">
        <v>0</v>
      </c>
      <c r="K79" s="1719">
        <v>0</v>
      </c>
      <c r="L79" s="1719">
        <v>0</v>
      </c>
      <c r="M79" s="1719">
        <v>0</v>
      </c>
      <c r="N79" s="1719">
        <v>0</v>
      </c>
      <c r="O79" s="1719"/>
      <c r="P79" s="1719">
        <v>0</v>
      </c>
      <c r="Q79" s="1719">
        <v>0</v>
      </c>
      <c r="R79" s="1720">
        <v>0</v>
      </c>
    </row>
    <row r="80" spans="1:18" s="206" customFormat="1" ht="24" customHeight="1">
      <c r="A80" s="1713"/>
      <c r="B80" s="1714" t="s">
        <v>179</v>
      </c>
      <c r="C80" s="1715" t="s">
        <v>149</v>
      </c>
      <c r="D80" s="1716" t="s">
        <v>150</v>
      </c>
      <c r="E80" s="1715" t="s">
        <v>410</v>
      </c>
      <c r="F80" s="1716" t="s">
        <v>580</v>
      </c>
      <c r="G80" s="1717" t="s">
        <v>81</v>
      </c>
      <c r="H80" s="1718">
        <v>1</v>
      </c>
      <c r="I80" s="1719">
        <f t="shared" si="1"/>
        <v>9600000</v>
      </c>
      <c r="J80" s="1719">
        <v>0</v>
      </c>
      <c r="K80" s="1719">
        <v>9600000</v>
      </c>
      <c r="L80" s="1719">
        <v>0</v>
      </c>
      <c r="M80" s="1719">
        <v>0</v>
      </c>
      <c r="N80" s="1719">
        <v>0</v>
      </c>
      <c r="O80" s="1719"/>
      <c r="P80" s="1719">
        <v>0</v>
      </c>
      <c r="Q80" s="1719">
        <v>0</v>
      </c>
      <c r="R80" s="1720">
        <v>0</v>
      </c>
    </row>
    <row r="81" spans="1:18" s="206" customFormat="1" ht="24" customHeight="1">
      <c r="A81" s="1713"/>
      <c r="B81" s="1714" t="s">
        <v>179</v>
      </c>
      <c r="C81" s="1715" t="s">
        <v>149</v>
      </c>
      <c r="D81" s="1716" t="s">
        <v>150</v>
      </c>
      <c r="E81" s="1715" t="s">
        <v>410</v>
      </c>
      <c r="F81" s="1716" t="s">
        <v>580</v>
      </c>
      <c r="G81" s="1717" t="s">
        <v>82</v>
      </c>
      <c r="H81" s="1718">
        <v>1</v>
      </c>
      <c r="I81" s="1719">
        <f t="shared" si="1"/>
        <v>9600000</v>
      </c>
      <c r="J81" s="1719">
        <v>0</v>
      </c>
      <c r="K81" s="1719">
        <v>9600000</v>
      </c>
      <c r="L81" s="1719">
        <v>0</v>
      </c>
      <c r="M81" s="1719">
        <v>0</v>
      </c>
      <c r="N81" s="1719">
        <v>0</v>
      </c>
      <c r="O81" s="1719"/>
      <c r="P81" s="1719">
        <v>0</v>
      </c>
      <c r="Q81" s="1719">
        <v>0</v>
      </c>
      <c r="R81" s="1720">
        <v>0</v>
      </c>
    </row>
    <row r="82" spans="1:18" s="206" customFormat="1" ht="24" customHeight="1">
      <c r="A82" s="1713"/>
      <c r="B82" s="1714" t="s">
        <v>179</v>
      </c>
      <c r="C82" s="1715" t="s">
        <v>149</v>
      </c>
      <c r="D82" s="1716" t="s">
        <v>150</v>
      </c>
      <c r="E82" s="1715" t="s">
        <v>410</v>
      </c>
      <c r="F82" s="1716" t="s">
        <v>580</v>
      </c>
      <c r="G82" s="1717" t="s">
        <v>83</v>
      </c>
      <c r="H82" s="1718">
        <v>0</v>
      </c>
      <c r="I82" s="1719">
        <f t="shared" si="1"/>
        <v>9598800</v>
      </c>
      <c r="J82" s="1719">
        <v>0</v>
      </c>
      <c r="K82" s="1719">
        <v>9598800</v>
      </c>
      <c r="L82" s="1719">
        <v>0</v>
      </c>
      <c r="M82" s="1719">
        <v>0</v>
      </c>
      <c r="N82" s="1719">
        <v>0</v>
      </c>
      <c r="O82" s="1719"/>
      <c r="P82" s="1719">
        <v>0</v>
      </c>
      <c r="Q82" s="1719">
        <v>0</v>
      </c>
      <c r="R82" s="1720">
        <v>0</v>
      </c>
    </row>
    <row r="83" spans="1:18" s="206" customFormat="1" ht="24" customHeight="1">
      <c r="A83" s="1713"/>
      <c r="B83" s="1714" t="s">
        <v>179</v>
      </c>
      <c r="C83" s="1715" t="s">
        <v>149</v>
      </c>
      <c r="D83" s="1716" t="s">
        <v>150</v>
      </c>
      <c r="E83" s="1715" t="s">
        <v>411</v>
      </c>
      <c r="F83" s="1716" t="s">
        <v>581</v>
      </c>
      <c r="G83" s="1717" t="s">
        <v>81</v>
      </c>
      <c r="H83" s="1718">
        <v>150</v>
      </c>
      <c r="I83" s="1719">
        <f t="shared" si="1"/>
        <v>0</v>
      </c>
      <c r="J83" s="1719">
        <v>0</v>
      </c>
      <c r="K83" s="1719">
        <v>0</v>
      </c>
      <c r="L83" s="1719">
        <v>0</v>
      </c>
      <c r="M83" s="1719">
        <v>0</v>
      </c>
      <c r="N83" s="1719">
        <v>0</v>
      </c>
      <c r="O83" s="1719"/>
      <c r="P83" s="1719">
        <v>0</v>
      </c>
      <c r="Q83" s="1719">
        <v>0</v>
      </c>
      <c r="R83" s="1720">
        <v>0</v>
      </c>
    </row>
    <row r="84" spans="1:18" s="206" customFormat="1" ht="24" customHeight="1">
      <c r="A84" s="1713"/>
      <c r="B84" s="1714" t="s">
        <v>179</v>
      </c>
      <c r="C84" s="1715" t="s">
        <v>149</v>
      </c>
      <c r="D84" s="1716" t="s">
        <v>150</v>
      </c>
      <c r="E84" s="1715" t="s">
        <v>411</v>
      </c>
      <c r="F84" s="1716" t="s">
        <v>581</v>
      </c>
      <c r="G84" s="1717" t="s">
        <v>82</v>
      </c>
      <c r="H84" s="1718">
        <v>0</v>
      </c>
      <c r="I84" s="1719">
        <f t="shared" si="1"/>
        <v>0</v>
      </c>
      <c r="J84" s="1719">
        <v>0</v>
      </c>
      <c r="K84" s="1719">
        <v>0</v>
      </c>
      <c r="L84" s="1719">
        <v>0</v>
      </c>
      <c r="M84" s="1719">
        <v>0</v>
      </c>
      <c r="N84" s="1719">
        <v>0</v>
      </c>
      <c r="O84" s="1719"/>
      <c r="P84" s="1719">
        <v>0</v>
      </c>
      <c r="Q84" s="1719">
        <v>0</v>
      </c>
      <c r="R84" s="1720">
        <v>0</v>
      </c>
    </row>
    <row r="85" spans="1:18" s="206" customFormat="1" ht="24" customHeight="1">
      <c r="A85" s="1713"/>
      <c r="B85" s="1714" t="s">
        <v>179</v>
      </c>
      <c r="C85" s="1715" t="s">
        <v>149</v>
      </c>
      <c r="D85" s="1716" t="s">
        <v>150</v>
      </c>
      <c r="E85" s="1715" t="s">
        <v>411</v>
      </c>
      <c r="F85" s="1716" t="s">
        <v>581</v>
      </c>
      <c r="G85" s="1717" t="s">
        <v>83</v>
      </c>
      <c r="H85" s="1718">
        <v>0</v>
      </c>
      <c r="I85" s="1719">
        <f t="shared" si="1"/>
        <v>0</v>
      </c>
      <c r="J85" s="1719">
        <v>0</v>
      </c>
      <c r="K85" s="1719">
        <v>0</v>
      </c>
      <c r="L85" s="1719">
        <v>0</v>
      </c>
      <c r="M85" s="1719">
        <v>0</v>
      </c>
      <c r="N85" s="1719">
        <v>0</v>
      </c>
      <c r="O85" s="1719"/>
      <c r="P85" s="1719">
        <v>0</v>
      </c>
      <c r="Q85" s="1719">
        <v>0</v>
      </c>
      <c r="R85" s="1720">
        <v>0</v>
      </c>
    </row>
    <row r="86" spans="1:18" s="206" customFormat="1">
      <c r="A86" s="1713"/>
      <c r="B86" s="1714" t="s">
        <v>179</v>
      </c>
      <c r="C86" s="1715" t="s">
        <v>149</v>
      </c>
      <c r="D86" s="1716" t="s">
        <v>150</v>
      </c>
      <c r="E86" s="1715" t="s">
        <v>412</v>
      </c>
      <c r="F86" s="1716" t="s">
        <v>413</v>
      </c>
      <c r="G86" s="1717" t="s">
        <v>81</v>
      </c>
      <c r="H86" s="1718">
        <v>1</v>
      </c>
      <c r="I86" s="1719">
        <f t="shared" si="1"/>
        <v>0</v>
      </c>
      <c r="J86" s="1719">
        <v>0</v>
      </c>
      <c r="K86" s="1719">
        <v>0</v>
      </c>
      <c r="L86" s="1719">
        <v>0</v>
      </c>
      <c r="M86" s="1719">
        <v>0</v>
      </c>
      <c r="N86" s="1719">
        <v>0</v>
      </c>
      <c r="O86" s="1719"/>
      <c r="P86" s="1719">
        <v>0</v>
      </c>
      <c r="Q86" s="1719">
        <v>0</v>
      </c>
      <c r="R86" s="1720">
        <v>0</v>
      </c>
    </row>
    <row r="87" spans="1:18" s="206" customFormat="1">
      <c r="A87" s="1713"/>
      <c r="B87" s="1714" t="s">
        <v>179</v>
      </c>
      <c r="C87" s="1715" t="s">
        <v>149</v>
      </c>
      <c r="D87" s="1716" t="s">
        <v>150</v>
      </c>
      <c r="E87" s="1715" t="s">
        <v>412</v>
      </c>
      <c r="F87" s="1716" t="s">
        <v>413</v>
      </c>
      <c r="G87" s="1717" t="s">
        <v>82</v>
      </c>
      <c r="H87" s="1718">
        <v>1</v>
      </c>
      <c r="I87" s="1719">
        <f t="shared" si="1"/>
        <v>0</v>
      </c>
      <c r="J87" s="1719">
        <v>0</v>
      </c>
      <c r="K87" s="1719">
        <v>0</v>
      </c>
      <c r="L87" s="1719">
        <v>0</v>
      </c>
      <c r="M87" s="1719">
        <v>0</v>
      </c>
      <c r="N87" s="1719">
        <v>0</v>
      </c>
      <c r="O87" s="1719"/>
      <c r="P87" s="1719">
        <v>0</v>
      </c>
      <c r="Q87" s="1719">
        <v>0</v>
      </c>
      <c r="R87" s="1720">
        <v>0</v>
      </c>
    </row>
    <row r="88" spans="1:18" s="206" customFormat="1">
      <c r="A88" s="1713"/>
      <c r="B88" s="1714" t="s">
        <v>179</v>
      </c>
      <c r="C88" s="1715" t="s">
        <v>149</v>
      </c>
      <c r="D88" s="1716" t="s">
        <v>150</v>
      </c>
      <c r="E88" s="1715" t="s">
        <v>412</v>
      </c>
      <c r="F88" s="1716" t="s">
        <v>413</v>
      </c>
      <c r="G88" s="1717" t="s">
        <v>83</v>
      </c>
      <c r="H88" s="1718">
        <v>1</v>
      </c>
      <c r="I88" s="1719">
        <f t="shared" si="1"/>
        <v>0</v>
      </c>
      <c r="J88" s="1719">
        <v>0</v>
      </c>
      <c r="K88" s="1719">
        <v>0</v>
      </c>
      <c r="L88" s="1719">
        <v>0</v>
      </c>
      <c r="M88" s="1719">
        <v>0</v>
      </c>
      <c r="N88" s="1719">
        <v>0</v>
      </c>
      <c r="O88" s="1719"/>
      <c r="P88" s="1719">
        <v>0</v>
      </c>
      <c r="Q88" s="1719">
        <v>0</v>
      </c>
      <c r="R88" s="1720">
        <v>0</v>
      </c>
    </row>
    <row r="89" spans="1:18" s="206" customFormat="1" ht="24" customHeight="1">
      <c r="A89" s="1713"/>
      <c r="B89" s="1714" t="s">
        <v>179</v>
      </c>
      <c r="C89" s="1715" t="s">
        <v>149</v>
      </c>
      <c r="D89" s="1716" t="s">
        <v>150</v>
      </c>
      <c r="E89" s="1715" t="s">
        <v>414</v>
      </c>
      <c r="F89" s="1716" t="s">
        <v>415</v>
      </c>
      <c r="G89" s="1717" t="s">
        <v>81</v>
      </c>
      <c r="H89" s="1718">
        <v>20</v>
      </c>
      <c r="I89" s="1719">
        <f t="shared" si="1"/>
        <v>0</v>
      </c>
      <c r="J89" s="1719">
        <v>0</v>
      </c>
      <c r="K89" s="1719">
        <v>0</v>
      </c>
      <c r="L89" s="1719">
        <v>0</v>
      </c>
      <c r="M89" s="1719">
        <v>0</v>
      </c>
      <c r="N89" s="1719">
        <v>0</v>
      </c>
      <c r="O89" s="1719"/>
      <c r="P89" s="1719">
        <v>0</v>
      </c>
      <c r="Q89" s="1719">
        <v>0</v>
      </c>
      <c r="R89" s="1720">
        <v>0</v>
      </c>
    </row>
    <row r="90" spans="1:18" s="206" customFormat="1" ht="24" customHeight="1">
      <c r="A90" s="1713"/>
      <c r="B90" s="1714" t="s">
        <v>179</v>
      </c>
      <c r="C90" s="1715" t="s">
        <v>149</v>
      </c>
      <c r="D90" s="1716" t="s">
        <v>150</v>
      </c>
      <c r="E90" s="1715" t="s">
        <v>414</v>
      </c>
      <c r="F90" s="1716" t="s">
        <v>415</v>
      </c>
      <c r="G90" s="1717" t="s">
        <v>82</v>
      </c>
      <c r="H90" s="1718">
        <v>0</v>
      </c>
      <c r="I90" s="1719">
        <f t="shared" si="1"/>
        <v>0</v>
      </c>
      <c r="J90" s="1719">
        <v>0</v>
      </c>
      <c r="K90" s="1719">
        <v>0</v>
      </c>
      <c r="L90" s="1719">
        <v>0</v>
      </c>
      <c r="M90" s="1719">
        <v>0</v>
      </c>
      <c r="N90" s="1719">
        <v>0</v>
      </c>
      <c r="O90" s="1719"/>
      <c r="P90" s="1719">
        <v>0</v>
      </c>
      <c r="Q90" s="1719">
        <v>0</v>
      </c>
      <c r="R90" s="1720">
        <v>0</v>
      </c>
    </row>
    <row r="91" spans="1:18" s="206" customFormat="1" ht="24" customHeight="1">
      <c r="A91" s="1713"/>
      <c r="B91" s="1714" t="s">
        <v>179</v>
      </c>
      <c r="C91" s="1715" t="s">
        <v>149</v>
      </c>
      <c r="D91" s="1716" t="s">
        <v>150</v>
      </c>
      <c r="E91" s="1715" t="s">
        <v>414</v>
      </c>
      <c r="F91" s="1716" t="s">
        <v>415</v>
      </c>
      <c r="G91" s="1717" t="s">
        <v>83</v>
      </c>
      <c r="H91" s="1718">
        <v>0</v>
      </c>
      <c r="I91" s="1719">
        <f t="shared" si="1"/>
        <v>0</v>
      </c>
      <c r="J91" s="1719">
        <v>0</v>
      </c>
      <c r="K91" s="1719">
        <v>0</v>
      </c>
      <c r="L91" s="1719">
        <v>0</v>
      </c>
      <c r="M91" s="1719">
        <v>0</v>
      </c>
      <c r="N91" s="1719">
        <v>0</v>
      </c>
      <c r="O91" s="1719"/>
      <c r="P91" s="1719">
        <v>0</v>
      </c>
      <c r="Q91" s="1719">
        <v>0</v>
      </c>
      <c r="R91" s="1720">
        <v>0</v>
      </c>
    </row>
    <row r="92" spans="1:18" s="206" customFormat="1" ht="24" customHeight="1">
      <c r="A92" s="1713"/>
      <c r="B92" s="1714" t="s">
        <v>179</v>
      </c>
      <c r="C92" s="1715" t="s">
        <v>149</v>
      </c>
      <c r="D92" s="1716" t="s">
        <v>150</v>
      </c>
      <c r="E92" s="1715" t="s">
        <v>416</v>
      </c>
      <c r="F92" s="1716" t="s">
        <v>582</v>
      </c>
      <c r="G92" s="1717" t="s">
        <v>81</v>
      </c>
      <c r="H92" s="1718">
        <v>1200</v>
      </c>
      <c r="I92" s="1719">
        <f t="shared" si="1"/>
        <v>34029811</v>
      </c>
      <c r="J92" s="1719">
        <v>0</v>
      </c>
      <c r="K92" s="1719">
        <v>34029811</v>
      </c>
      <c r="L92" s="1719">
        <v>0</v>
      </c>
      <c r="M92" s="1719">
        <v>0</v>
      </c>
      <c r="N92" s="1719">
        <v>0</v>
      </c>
      <c r="O92" s="1719"/>
      <c r="P92" s="1719">
        <v>0</v>
      </c>
      <c r="Q92" s="1719">
        <v>0</v>
      </c>
      <c r="R92" s="1720">
        <v>0</v>
      </c>
    </row>
    <row r="93" spans="1:18" s="206" customFormat="1" ht="24" customHeight="1">
      <c r="A93" s="1713"/>
      <c r="B93" s="1714" t="s">
        <v>179</v>
      </c>
      <c r="C93" s="1715" t="s">
        <v>149</v>
      </c>
      <c r="D93" s="1716" t="s">
        <v>150</v>
      </c>
      <c r="E93" s="1715" t="s">
        <v>416</v>
      </c>
      <c r="F93" s="1716" t="s">
        <v>582</v>
      </c>
      <c r="G93" s="1717" t="s">
        <v>82</v>
      </c>
      <c r="H93" s="1718">
        <v>1200</v>
      </c>
      <c r="I93" s="1719">
        <f t="shared" si="1"/>
        <v>34029811</v>
      </c>
      <c r="J93" s="1719">
        <v>0</v>
      </c>
      <c r="K93" s="1719">
        <v>34029811</v>
      </c>
      <c r="L93" s="1719">
        <v>0</v>
      </c>
      <c r="M93" s="1719">
        <v>0</v>
      </c>
      <c r="N93" s="1719">
        <v>0</v>
      </c>
      <c r="O93" s="1719"/>
      <c r="P93" s="1719">
        <v>0</v>
      </c>
      <c r="Q93" s="1719">
        <v>0</v>
      </c>
      <c r="R93" s="1720">
        <v>0</v>
      </c>
    </row>
    <row r="94" spans="1:18" s="206" customFormat="1" ht="24" customHeight="1">
      <c r="A94" s="1713"/>
      <c r="B94" s="1714" t="s">
        <v>179</v>
      </c>
      <c r="C94" s="1715" t="s">
        <v>149</v>
      </c>
      <c r="D94" s="1716" t="s">
        <v>150</v>
      </c>
      <c r="E94" s="1715" t="s">
        <v>416</v>
      </c>
      <c r="F94" s="1716" t="s">
        <v>582</v>
      </c>
      <c r="G94" s="1717" t="s">
        <v>83</v>
      </c>
      <c r="H94" s="1724">
        <v>0</v>
      </c>
      <c r="I94" s="1719">
        <f t="shared" si="1"/>
        <v>0</v>
      </c>
      <c r="J94" s="1719">
        <v>0</v>
      </c>
      <c r="K94" s="1719">
        <v>0</v>
      </c>
      <c r="L94" s="1719">
        <v>0</v>
      </c>
      <c r="M94" s="1719">
        <v>0</v>
      </c>
      <c r="N94" s="1719">
        <v>0</v>
      </c>
      <c r="O94" s="1719"/>
      <c r="P94" s="1719">
        <v>0</v>
      </c>
      <c r="Q94" s="1719">
        <v>0</v>
      </c>
      <c r="R94" s="1720">
        <v>0</v>
      </c>
    </row>
    <row r="95" spans="1:18" s="206" customFormat="1" ht="24" customHeight="1">
      <c r="A95" s="1713"/>
      <c r="B95" s="1714" t="s">
        <v>179</v>
      </c>
      <c r="C95" s="1715" t="s">
        <v>149</v>
      </c>
      <c r="D95" s="1716" t="s">
        <v>150</v>
      </c>
      <c r="E95" s="1715" t="s">
        <v>417</v>
      </c>
      <c r="F95" s="1716" t="s">
        <v>583</v>
      </c>
      <c r="G95" s="1717" t="s">
        <v>81</v>
      </c>
      <c r="H95" s="1718">
        <v>1100</v>
      </c>
      <c r="I95" s="1719">
        <f t="shared" si="1"/>
        <v>0</v>
      </c>
      <c r="J95" s="1719">
        <v>0</v>
      </c>
      <c r="K95" s="1719">
        <v>0</v>
      </c>
      <c r="L95" s="1719">
        <v>0</v>
      </c>
      <c r="M95" s="1719">
        <v>0</v>
      </c>
      <c r="N95" s="1719">
        <v>0</v>
      </c>
      <c r="O95" s="1719"/>
      <c r="P95" s="1719">
        <v>0</v>
      </c>
      <c r="Q95" s="1719">
        <v>0</v>
      </c>
      <c r="R95" s="1720">
        <v>0</v>
      </c>
    </row>
    <row r="96" spans="1:18" s="206" customFormat="1" ht="24" customHeight="1">
      <c r="A96" s="1713"/>
      <c r="B96" s="1714" t="s">
        <v>179</v>
      </c>
      <c r="C96" s="1715" t="s">
        <v>149</v>
      </c>
      <c r="D96" s="1716" t="s">
        <v>150</v>
      </c>
      <c r="E96" s="1715" t="s">
        <v>417</v>
      </c>
      <c r="F96" s="1716" t="s">
        <v>583</v>
      </c>
      <c r="G96" s="1717" t="s">
        <v>82</v>
      </c>
      <c r="H96" s="1724">
        <v>30</v>
      </c>
      <c r="I96" s="1719">
        <f t="shared" si="1"/>
        <v>0</v>
      </c>
      <c r="J96" s="1719">
        <v>0</v>
      </c>
      <c r="K96" s="1719">
        <v>0</v>
      </c>
      <c r="L96" s="1719">
        <v>0</v>
      </c>
      <c r="M96" s="1719">
        <v>0</v>
      </c>
      <c r="N96" s="1719">
        <v>0</v>
      </c>
      <c r="O96" s="1719"/>
      <c r="P96" s="1719">
        <v>0</v>
      </c>
      <c r="Q96" s="1719">
        <v>0</v>
      </c>
      <c r="R96" s="1720">
        <v>0</v>
      </c>
    </row>
    <row r="97" spans="1:18" s="206" customFormat="1" ht="24" customHeight="1">
      <c r="A97" s="1713"/>
      <c r="B97" s="1714" t="s">
        <v>179</v>
      </c>
      <c r="C97" s="1715" t="s">
        <v>149</v>
      </c>
      <c r="D97" s="1716" t="s">
        <v>150</v>
      </c>
      <c r="E97" s="1715" t="s">
        <v>417</v>
      </c>
      <c r="F97" s="1716" t="s">
        <v>583</v>
      </c>
      <c r="G97" s="1717" t="s">
        <v>83</v>
      </c>
      <c r="H97" s="1724">
        <v>30</v>
      </c>
      <c r="I97" s="1719">
        <f t="shared" si="1"/>
        <v>0</v>
      </c>
      <c r="J97" s="1719">
        <v>0</v>
      </c>
      <c r="K97" s="1719">
        <v>0</v>
      </c>
      <c r="L97" s="1719">
        <v>0</v>
      </c>
      <c r="M97" s="1719">
        <v>0</v>
      </c>
      <c r="N97" s="1719">
        <v>0</v>
      </c>
      <c r="O97" s="1719"/>
      <c r="P97" s="1719">
        <v>0</v>
      </c>
      <c r="Q97" s="1719">
        <v>0</v>
      </c>
      <c r="R97" s="1720">
        <v>0</v>
      </c>
    </row>
    <row r="98" spans="1:18" s="206" customFormat="1" ht="24" customHeight="1">
      <c r="A98" s="1713"/>
      <c r="B98" s="1714" t="s">
        <v>179</v>
      </c>
      <c r="C98" s="1715" t="s">
        <v>149</v>
      </c>
      <c r="D98" s="1716" t="s">
        <v>150</v>
      </c>
      <c r="E98" s="1715" t="s">
        <v>418</v>
      </c>
      <c r="F98" s="1716" t="s">
        <v>584</v>
      </c>
      <c r="G98" s="1717" t="s">
        <v>81</v>
      </c>
      <c r="H98" s="1718">
        <v>400</v>
      </c>
      <c r="I98" s="1719">
        <f t="shared" si="1"/>
        <v>0</v>
      </c>
      <c r="J98" s="1719">
        <v>0</v>
      </c>
      <c r="K98" s="1719">
        <v>0</v>
      </c>
      <c r="L98" s="1719">
        <v>0</v>
      </c>
      <c r="M98" s="1719">
        <v>0</v>
      </c>
      <c r="N98" s="1719">
        <v>0</v>
      </c>
      <c r="O98" s="1719"/>
      <c r="P98" s="1719">
        <v>0</v>
      </c>
      <c r="Q98" s="1719">
        <v>0</v>
      </c>
      <c r="R98" s="1720">
        <v>0</v>
      </c>
    </row>
    <row r="99" spans="1:18" s="206" customFormat="1" ht="24" customHeight="1">
      <c r="A99" s="1713"/>
      <c r="B99" s="1714" t="s">
        <v>179</v>
      </c>
      <c r="C99" s="1715" t="s">
        <v>149</v>
      </c>
      <c r="D99" s="1716" t="s">
        <v>150</v>
      </c>
      <c r="E99" s="1715" t="s">
        <v>418</v>
      </c>
      <c r="F99" s="1716" t="s">
        <v>584</v>
      </c>
      <c r="G99" s="1717" t="s">
        <v>82</v>
      </c>
      <c r="H99" s="1718">
        <v>0</v>
      </c>
      <c r="I99" s="1719">
        <f t="shared" si="1"/>
        <v>0</v>
      </c>
      <c r="J99" s="1719">
        <v>0</v>
      </c>
      <c r="K99" s="1719">
        <v>0</v>
      </c>
      <c r="L99" s="1719">
        <v>0</v>
      </c>
      <c r="M99" s="1719">
        <v>0</v>
      </c>
      <c r="N99" s="1719">
        <v>0</v>
      </c>
      <c r="O99" s="1719"/>
      <c r="P99" s="1719">
        <v>0</v>
      </c>
      <c r="Q99" s="1719">
        <v>0</v>
      </c>
      <c r="R99" s="1720">
        <v>0</v>
      </c>
    </row>
    <row r="100" spans="1:18" s="206" customFormat="1" ht="24" customHeight="1">
      <c r="A100" s="1713"/>
      <c r="B100" s="1714" t="s">
        <v>179</v>
      </c>
      <c r="C100" s="1715" t="s">
        <v>149</v>
      </c>
      <c r="D100" s="1716" t="s">
        <v>150</v>
      </c>
      <c r="E100" s="1715" t="s">
        <v>418</v>
      </c>
      <c r="F100" s="1716" t="s">
        <v>584</v>
      </c>
      <c r="G100" s="1717" t="s">
        <v>83</v>
      </c>
      <c r="H100" s="1718">
        <v>0</v>
      </c>
      <c r="I100" s="1719">
        <f t="shared" si="1"/>
        <v>0</v>
      </c>
      <c r="J100" s="1719">
        <v>0</v>
      </c>
      <c r="K100" s="1719">
        <v>0</v>
      </c>
      <c r="L100" s="1719">
        <v>0</v>
      </c>
      <c r="M100" s="1719">
        <v>0</v>
      </c>
      <c r="N100" s="1719">
        <v>0</v>
      </c>
      <c r="O100" s="1719"/>
      <c r="P100" s="1719">
        <v>0</v>
      </c>
      <c r="Q100" s="1719">
        <v>0</v>
      </c>
      <c r="R100" s="1720">
        <v>0</v>
      </c>
    </row>
    <row r="101" spans="1:18" s="206" customFormat="1" ht="24" customHeight="1">
      <c r="A101" s="1713"/>
      <c r="B101" s="1714" t="s">
        <v>179</v>
      </c>
      <c r="C101" s="1715" t="s">
        <v>149</v>
      </c>
      <c r="D101" s="1716" t="s">
        <v>150</v>
      </c>
      <c r="E101" s="1715" t="s">
        <v>419</v>
      </c>
      <c r="F101" s="1716" t="s">
        <v>585</v>
      </c>
      <c r="G101" s="1717" t="s">
        <v>81</v>
      </c>
      <c r="H101" s="1718">
        <v>1500</v>
      </c>
      <c r="I101" s="1719">
        <f t="shared" si="1"/>
        <v>41000000</v>
      </c>
      <c r="J101" s="1719">
        <v>0</v>
      </c>
      <c r="K101" s="1719">
        <v>41000000</v>
      </c>
      <c r="L101" s="1719">
        <v>0</v>
      </c>
      <c r="M101" s="1719">
        <v>0</v>
      </c>
      <c r="N101" s="1719">
        <v>0</v>
      </c>
      <c r="O101" s="1719"/>
      <c r="P101" s="1719">
        <v>0</v>
      </c>
      <c r="Q101" s="1719">
        <v>0</v>
      </c>
      <c r="R101" s="1720">
        <v>0</v>
      </c>
    </row>
    <row r="102" spans="1:18" s="206" customFormat="1" ht="24" customHeight="1">
      <c r="A102" s="1713"/>
      <c r="B102" s="1714" t="s">
        <v>179</v>
      </c>
      <c r="C102" s="1715" t="s">
        <v>149</v>
      </c>
      <c r="D102" s="1716" t="s">
        <v>150</v>
      </c>
      <c r="E102" s="1715" t="s">
        <v>419</v>
      </c>
      <c r="F102" s="1716" t="s">
        <v>585</v>
      </c>
      <c r="G102" s="1717" t="s">
        <v>82</v>
      </c>
      <c r="H102" s="1718">
        <v>1500</v>
      </c>
      <c r="I102" s="1719">
        <f t="shared" si="1"/>
        <v>41000000</v>
      </c>
      <c r="J102" s="1719">
        <v>0</v>
      </c>
      <c r="K102" s="1719">
        <v>41000000</v>
      </c>
      <c r="L102" s="1719">
        <v>0</v>
      </c>
      <c r="M102" s="1719">
        <v>0</v>
      </c>
      <c r="N102" s="1719">
        <v>0</v>
      </c>
      <c r="O102" s="1719"/>
      <c r="P102" s="1719">
        <v>0</v>
      </c>
      <c r="Q102" s="1719">
        <v>0</v>
      </c>
      <c r="R102" s="1720">
        <v>0</v>
      </c>
    </row>
    <row r="103" spans="1:18" s="206" customFormat="1" ht="24" customHeight="1">
      <c r="A103" s="1713"/>
      <c r="B103" s="1714" t="s">
        <v>179</v>
      </c>
      <c r="C103" s="1715" t="s">
        <v>149</v>
      </c>
      <c r="D103" s="1716" t="s">
        <v>150</v>
      </c>
      <c r="E103" s="1715" t="s">
        <v>419</v>
      </c>
      <c r="F103" s="1716" t="s">
        <v>585</v>
      </c>
      <c r="G103" s="1717" t="s">
        <v>83</v>
      </c>
      <c r="H103" s="1724">
        <v>250</v>
      </c>
      <c r="I103" s="1719">
        <f t="shared" si="1"/>
        <v>14988696</v>
      </c>
      <c r="J103" s="1719">
        <v>0</v>
      </c>
      <c r="K103" s="1719">
        <v>14988696</v>
      </c>
      <c r="L103" s="1719">
        <v>0</v>
      </c>
      <c r="M103" s="1719">
        <v>0</v>
      </c>
      <c r="N103" s="1719">
        <v>0</v>
      </c>
      <c r="O103" s="1719"/>
      <c r="P103" s="1719">
        <v>0</v>
      </c>
      <c r="Q103" s="1719">
        <v>0</v>
      </c>
      <c r="R103" s="1720">
        <v>0</v>
      </c>
    </row>
    <row r="104" spans="1:18" s="206" customFormat="1" ht="24" customHeight="1">
      <c r="A104" s="1713"/>
      <c r="B104" s="1714" t="s">
        <v>179</v>
      </c>
      <c r="C104" s="1715" t="s">
        <v>149</v>
      </c>
      <c r="D104" s="1716" t="s">
        <v>150</v>
      </c>
      <c r="E104" s="1715" t="s">
        <v>420</v>
      </c>
      <c r="F104" s="1716" t="s">
        <v>586</v>
      </c>
      <c r="G104" s="1717" t="s">
        <v>81</v>
      </c>
      <c r="H104" s="1718">
        <v>150</v>
      </c>
      <c r="I104" s="1719">
        <f t="shared" si="1"/>
        <v>5000000</v>
      </c>
      <c r="J104" s="1719">
        <v>0</v>
      </c>
      <c r="K104" s="1719">
        <v>5000000</v>
      </c>
      <c r="L104" s="1719">
        <v>0</v>
      </c>
      <c r="M104" s="1719">
        <v>0</v>
      </c>
      <c r="N104" s="1719">
        <v>0</v>
      </c>
      <c r="O104" s="1719"/>
      <c r="P104" s="1719">
        <v>0</v>
      </c>
      <c r="Q104" s="1719">
        <v>0</v>
      </c>
      <c r="R104" s="1720">
        <v>0</v>
      </c>
    </row>
    <row r="105" spans="1:18" s="206" customFormat="1" ht="24" customHeight="1">
      <c r="A105" s="1713"/>
      <c r="B105" s="1714" t="s">
        <v>179</v>
      </c>
      <c r="C105" s="1715" t="s">
        <v>149</v>
      </c>
      <c r="D105" s="1716" t="s">
        <v>150</v>
      </c>
      <c r="E105" s="1715" t="s">
        <v>420</v>
      </c>
      <c r="F105" s="1716" t="s">
        <v>586</v>
      </c>
      <c r="G105" s="1717" t="s">
        <v>82</v>
      </c>
      <c r="H105" s="1718">
        <v>150</v>
      </c>
      <c r="I105" s="1719">
        <f t="shared" si="1"/>
        <v>5000000</v>
      </c>
      <c r="J105" s="1719">
        <v>0</v>
      </c>
      <c r="K105" s="1719">
        <v>5000000</v>
      </c>
      <c r="L105" s="1719">
        <v>0</v>
      </c>
      <c r="M105" s="1719">
        <v>0</v>
      </c>
      <c r="N105" s="1719">
        <v>0</v>
      </c>
      <c r="O105" s="1719"/>
      <c r="P105" s="1719">
        <v>0</v>
      </c>
      <c r="Q105" s="1719">
        <v>0</v>
      </c>
      <c r="R105" s="1720">
        <v>0</v>
      </c>
    </row>
    <row r="106" spans="1:18" s="206" customFormat="1" ht="24" customHeight="1">
      <c r="A106" s="1713"/>
      <c r="B106" s="1714" t="s">
        <v>179</v>
      </c>
      <c r="C106" s="1715" t="s">
        <v>149</v>
      </c>
      <c r="D106" s="1716" t="s">
        <v>150</v>
      </c>
      <c r="E106" s="1715" t="s">
        <v>420</v>
      </c>
      <c r="F106" s="1716" t="s">
        <v>586</v>
      </c>
      <c r="G106" s="1717" t="s">
        <v>83</v>
      </c>
      <c r="H106" s="1718">
        <v>0</v>
      </c>
      <c r="I106" s="1719">
        <f t="shared" si="1"/>
        <v>0</v>
      </c>
      <c r="J106" s="1719">
        <v>0</v>
      </c>
      <c r="K106" s="1719">
        <v>0</v>
      </c>
      <c r="L106" s="1719">
        <v>0</v>
      </c>
      <c r="M106" s="1719">
        <v>0</v>
      </c>
      <c r="N106" s="1719">
        <v>0</v>
      </c>
      <c r="O106" s="1719"/>
      <c r="P106" s="1719">
        <v>0</v>
      </c>
      <c r="Q106" s="1719">
        <v>0</v>
      </c>
      <c r="R106" s="1720">
        <v>0</v>
      </c>
    </row>
    <row r="107" spans="1:18" s="206" customFormat="1">
      <c r="A107" s="1713"/>
      <c r="B107" s="1714" t="s">
        <v>179</v>
      </c>
      <c r="C107" s="1715" t="s">
        <v>149</v>
      </c>
      <c r="D107" s="1716" t="s">
        <v>150</v>
      </c>
      <c r="E107" s="1715" t="s">
        <v>422</v>
      </c>
      <c r="F107" s="1716" t="s">
        <v>423</v>
      </c>
      <c r="G107" s="1717" t="s">
        <v>81</v>
      </c>
      <c r="H107" s="1718">
        <v>0</v>
      </c>
      <c r="I107" s="1719">
        <f t="shared" si="1"/>
        <v>0</v>
      </c>
      <c r="J107" s="1719">
        <v>0</v>
      </c>
      <c r="K107" s="1719">
        <v>0</v>
      </c>
      <c r="L107" s="1719">
        <v>0</v>
      </c>
      <c r="M107" s="1719">
        <v>0</v>
      </c>
      <c r="N107" s="1719">
        <v>0</v>
      </c>
      <c r="O107" s="1719"/>
      <c r="P107" s="1719">
        <v>0</v>
      </c>
      <c r="Q107" s="1719">
        <v>0</v>
      </c>
      <c r="R107" s="1720">
        <v>0</v>
      </c>
    </row>
    <row r="108" spans="1:18" s="206" customFormat="1">
      <c r="A108" s="1713"/>
      <c r="B108" s="1714" t="s">
        <v>179</v>
      </c>
      <c r="C108" s="1715" t="s">
        <v>149</v>
      </c>
      <c r="D108" s="1716" t="s">
        <v>150</v>
      </c>
      <c r="E108" s="1715" t="s">
        <v>422</v>
      </c>
      <c r="F108" s="1716" t="s">
        <v>423</v>
      </c>
      <c r="G108" s="1717" t="s">
        <v>82</v>
      </c>
      <c r="H108" s="1718">
        <v>0</v>
      </c>
      <c r="I108" s="1719">
        <f t="shared" si="1"/>
        <v>0</v>
      </c>
      <c r="J108" s="1719">
        <v>0</v>
      </c>
      <c r="K108" s="1719">
        <v>0</v>
      </c>
      <c r="L108" s="1719">
        <v>0</v>
      </c>
      <c r="M108" s="1719">
        <v>0</v>
      </c>
      <c r="N108" s="1719">
        <v>0</v>
      </c>
      <c r="O108" s="1719"/>
      <c r="P108" s="1719">
        <v>0</v>
      </c>
      <c r="Q108" s="1719">
        <v>0</v>
      </c>
      <c r="R108" s="1720">
        <v>0</v>
      </c>
    </row>
    <row r="109" spans="1:18" s="206" customFormat="1">
      <c r="A109" s="1713"/>
      <c r="B109" s="1714" t="s">
        <v>179</v>
      </c>
      <c r="C109" s="1715" t="s">
        <v>149</v>
      </c>
      <c r="D109" s="1716" t="s">
        <v>150</v>
      </c>
      <c r="E109" s="1715" t="s">
        <v>422</v>
      </c>
      <c r="F109" s="1716" t="s">
        <v>423</v>
      </c>
      <c r="G109" s="1717" t="s">
        <v>83</v>
      </c>
      <c r="H109" s="1718">
        <v>0</v>
      </c>
      <c r="I109" s="1719">
        <f t="shared" si="1"/>
        <v>0</v>
      </c>
      <c r="J109" s="1719">
        <v>0</v>
      </c>
      <c r="K109" s="1719">
        <v>0</v>
      </c>
      <c r="L109" s="1719">
        <v>0</v>
      </c>
      <c r="M109" s="1719">
        <v>0</v>
      </c>
      <c r="N109" s="1719">
        <v>0</v>
      </c>
      <c r="O109" s="1719"/>
      <c r="P109" s="1719">
        <v>0</v>
      </c>
      <c r="Q109" s="1719">
        <v>0</v>
      </c>
      <c r="R109" s="1720">
        <v>0</v>
      </c>
    </row>
    <row r="110" spans="1:18" s="206" customFormat="1" ht="24" customHeight="1">
      <c r="A110" s="1713"/>
      <c r="B110" s="1714" t="s">
        <v>179</v>
      </c>
      <c r="C110" s="1715" t="s">
        <v>149</v>
      </c>
      <c r="D110" s="1716" t="s">
        <v>150</v>
      </c>
      <c r="E110" s="1715" t="s">
        <v>426</v>
      </c>
      <c r="F110" s="1716" t="s">
        <v>587</v>
      </c>
      <c r="G110" s="1717" t="s">
        <v>81</v>
      </c>
      <c r="H110" s="1718">
        <v>36</v>
      </c>
      <c r="I110" s="1719">
        <f t="shared" si="1"/>
        <v>4994000</v>
      </c>
      <c r="J110" s="1719">
        <v>0</v>
      </c>
      <c r="K110" s="1719">
        <v>4994000</v>
      </c>
      <c r="L110" s="1719">
        <v>0</v>
      </c>
      <c r="M110" s="1719">
        <v>0</v>
      </c>
      <c r="N110" s="1719">
        <v>0</v>
      </c>
      <c r="O110" s="1719"/>
      <c r="P110" s="1719">
        <v>0</v>
      </c>
      <c r="Q110" s="1719">
        <v>0</v>
      </c>
      <c r="R110" s="1720">
        <v>0</v>
      </c>
    </row>
    <row r="111" spans="1:18" s="206" customFormat="1" ht="24" customHeight="1">
      <c r="A111" s="1713"/>
      <c r="B111" s="1714" t="s">
        <v>179</v>
      </c>
      <c r="C111" s="1715" t="s">
        <v>149</v>
      </c>
      <c r="D111" s="1716" t="s">
        <v>150</v>
      </c>
      <c r="E111" s="1715" t="s">
        <v>426</v>
      </c>
      <c r="F111" s="1716" t="s">
        <v>587</v>
      </c>
      <c r="G111" s="1717" t="s">
        <v>82</v>
      </c>
      <c r="H111" s="1718">
        <v>36</v>
      </c>
      <c r="I111" s="1719">
        <f t="shared" si="1"/>
        <v>4994000</v>
      </c>
      <c r="J111" s="1719">
        <v>0</v>
      </c>
      <c r="K111" s="1719">
        <v>4994000</v>
      </c>
      <c r="L111" s="1719">
        <v>0</v>
      </c>
      <c r="M111" s="1719">
        <v>0</v>
      </c>
      <c r="N111" s="1719">
        <v>0</v>
      </c>
      <c r="O111" s="1719"/>
      <c r="P111" s="1719">
        <v>0</v>
      </c>
      <c r="Q111" s="1719">
        <v>0</v>
      </c>
      <c r="R111" s="1720">
        <v>0</v>
      </c>
    </row>
    <row r="112" spans="1:18" s="206" customFormat="1" ht="24" customHeight="1">
      <c r="A112" s="1713"/>
      <c r="B112" s="1714" t="s">
        <v>179</v>
      </c>
      <c r="C112" s="1715" t="s">
        <v>149</v>
      </c>
      <c r="D112" s="1716" t="s">
        <v>150</v>
      </c>
      <c r="E112" s="1715" t="s">
        <v>426</v>
      </c>
      <c r="F112" s="1716" t="s">
        <v>587</v>
      </c>
      <c r="G112" s="1717" t="s">
        <v>83</v>
      </c>
      <c r="H112" s="1724">
        <v>2</v>
      </c>
      <c r="I112" s="1719">
        <f t="shared" ref="I112:I175" si="2">K112</f>
        <v>369916</v>
      </c>
      <c r="J112" s="1719">
        <v>0</v>
      </c>
      <c r="K112" s="1719">
        <v>369916</v>
      </c>
      <c r="L112" s="1719">
        <v>0</v>
      </c>
      <c r="M112" s="1719">
        <v>0</v>
      </c>
      <c r="N112" s="1719">
        <v>0</v>
      </c>
      <c r="O112" s="1719"/>
      <c r="P112" s="1719">
        <v>0</v>
      </c>
      <c r="Q112" s="1719">
        <v>0</v>
      </c>
      <c r="R112" s="1720">
        <v>0</v>
      </c>
    </row>
    <row r="113" spans="1:18" s="206" customFormat="1">
      <c r="A113" s="1713"/>
      <c r="B113" s="1714" t="s">
        <v>179</v>
      </c>
      <c r="C113" s="1715" t="s">
        <v>149</v>
      </c>
      <c r="D113" s="1716" t="s">
        <v>150</v>
      </c>
      <c r="E113" s="1715" t="s">
        <v>427</v>
      </c>
      <c r="F113" s="1716" t="s">
        <v>428</v>
      </c>
      <c r="G113" s="1717" t="s">
        <v>81</v>
      </c>
      <c r="H113" s="1718">
        <v>1</v>
      </c>
      <c r="I113" s="1719">
        <f t="shared" si="2"/>
        <v>48606000</v>
      </c>
      <c r="J113" s="1719">
        <v>0</v>
      </c>
      <c r="K113" s="1719">
        <v>48606000</v>
      </c>
      <c r="L113" s="1719">
        <v>0</v>
      </c>
      <c r="M113" s="1719">
        <v>0</v>
      </c>
      <c r="N113" s="1719">
        <v>0</v>
      </c>
      <c r="O113" s="1719"/>
      <c r="P113" s="1719">
        <v>0</v>
      </c>
      <c r="Q113" s="1719">
        <v>0</v>
      </c>
      <c r="R113" s="1720">
        <v>0</v>
      </c>
    </row>
    <row r="114" spans="1:18" s="206" customFormat="1">
      <c r="A114" s="1713"/>
      <c r="B114" s="1714" t="s">
        <v>179</v>
      </c>
      <c r="C114" s="1715" t="s">
        <v>149</v>
      </c>
      <c r="D114" s="1716" t="s">
        <v>150</v>
      </c>
      <c r="E114" s="1715" t="s">
        <v>427</v>
      </c>
      <c r="F114" s="1716" t="s">
        <v>428</v>
      </c>
      <c r="G114" s="1717" t="s">
        <v>82</v>
      </c>
      <c r="H114" s="1718">
        <v>1</v>
      </c>
      <c r="I114" s="1719">
        <f t="shared" si="2"/>
        <v>48606000</v>
      </c>
      <c r="J114" s="1719">
        <v>0</v>
      </c>
      <c r="K114" s="1719">
        <v>48606000</v>
      </c>
      <c r="L114" s="1719">
        <v>0</v>
      </c>
      <c r="M114" s="1719">
        <v>0</v>
      </c>
      <c r="N114" s="1719">
        <v>0</v>
      </c>
      <c r="O114" s="1719"/>
      <c r="P114" s="1719">
        <v>0</v>
      </c>
      <c r="Q114" s="1719">
        <v>0</v>
      </c>
      <c r="R114" s="1720">
        <v>0</v>
      </c>
    </row>
    <row r="115" spans="1:18" s="206" customFormat="1">
      <c r="A115" s="1713"/>
      <c r="B115" s="1714" t="s">
        <v>179</v>
      </c>
      <c r="C115" s="1715" t="s">
        <v>149</v>
      </c>
      <c r="D115" s="1716" t="s">
        <v>150</v>
      </c>
      <c r="E115" s="1715" t="s">
        <v>427</v>
      </c>
      <c r="F115" s="1716" t="s">
        <v>428</v>
      </c>
      <c r="G115" s="1717" t="s">
        <v>83</v>
      </c>
      <c r="H115" s="1718">
        <v>0</v>
      </c>
      <c r="I115" s="1719">
        <f t="shared" si="2"/>
        <v>0</v>
      </c>
      <c r="J115" s="1719">
        <v>0</v>
      </c>
      <c r="K115" s="1719">
        <v>0</v>
      </c>
      <c r="L115" s="1719">
        <v>0</v>
      </c>
      <c r="M115" s="1719">
        <v>0</v>
      </c>
      <c r="N115" s="1719">
        <v>0</v>
      </c>
      <c r="O115" s="1719"/>
      <c r="P115" s="1719">
        <v>0</v>
      </c>
      <c r="Q115" s="1719">
        <v>0</v>
      </c>
      <c r="R115" s="1720">
        <v>0</v>
      </c>
    </row>
    <row r="116" spans="1:18" s="206" customFormat="1">
      <c r="A116" s="1713"/>
      <c r="B116" s="1714" t="s">
        <v>179</v>
      </c>
      <c r="C116" s="1715" t="s">
        <v>149</v>
      </c>
      <c r="D116" s="1716" t="s">
        <v>150</v>
      </c>
      <c r="E116" s="1715" t="s">
        <v>429</v>
      </c>
      <c r="F116" s="1716" t="s">
        <v>430</v>
      </c>
      <c r="G116" s="1717" t="s">
        <v>81</v>
      </c>
      <c r="H116" s="1718">
        <v>1</v>
      </c>
      <c r="I116" s="1719">
        <f t="shared" si="2"/>
        <v>0</v>
      </c>
      <c r="J116" s="1719">
        <v>0</v>
      </c>
      <c r="K116" s="1719">
        <v>0</v>
      </c>
      <c r="L116" s="1719">
        <v>0</v>
      </c>
      <c r="M116" s="1719">
        <v>0</v>
      </c>
      <c r="N116" s="1719">
        <v>0</v>
      </c>
      <c r="O116" s="1719"/>
      <c r="P116" s="1719">
        <v>0</v>
      </c>
      <c r="Q116" s="1719">
        <v>0</v>
      </c>
      <c r="R116" s="1720">
        <v>0</v>
      </c>
    </row>
    <row r="117" spans="1:18" s="206" customFormat="1">
      <c r="A117" s="1713"/>
      <c r="B117" s="1714" t="s">
        <v>179</v>
      </c>
      <c r="C117" s="1715" t="s">
        <v>149</v>
      </c>
      <c r="D117" s="1716" t="s">
        <v>150</v>
      </c>
      <c r="E117" s="1715" t="s">
        <v>429</v>
      </c>
      <c r="F117" s="1716" t="s">
        <v>430</v>
      </c>
      <c r="G117" s="1717" t="s">
        <v>82</v>
      </c>
      <c r="H117" s="1718">
        <v>0</v>
      </c>
      <c r="I117" s="1719">
        <f t="shared" si="2"/>
        <v>0</v>
      </c>
      <c r="J117" s="1719">
        <v>0</v>
      </c>
      <c r="K117" s="1719">
        <v>0</v>
      </c>
      <c r="L117" s="1719">
        <v>0</v>
      </c>
      <c r="M117" s="1719">
        <v>0</v>
      </c>
      <c r="N117" s="1719">
        <v>0</v>
      </c>
      <c r="O117" s="1719"/>
      <c r="P117" s="1719">
        <v>0</v>
      </c>
      <c r="Q117" s="1719">
        <v>0</v>
      </c>
      <c r="R117" s="1720">
        <v>0</v>
      </c>
    </row>
    <row r="118" spans="1:18" s="206" customFormat="1">
      <c r="A118" s="1713"/>
      <c r="B118" s="1714" t="s">
        <v>179</v>
      </c>
      <c r="C118" s="1715" t="s">
        <v>149</v>
      </c>
      <c r="D118" s="1716" t="s">
        <v>150</v>
      </c>
      <c r="E118" s="1715" t="s">
        <v>429</v>
      </c>
      <c r="F118" s="1716" t="s">
        <v>430</v>
      </c>
      <c r="G118" s="1717" t="s">
        <v>83</v>
      </c>
      <c r="H118" s="1718">
        <v>0</v>
      </c>
      <c r="I118" s="1719">
        <f t="shared" si="2"/>
        <v>0</v>
      </c>
      <c r="J118" s="1719">
        <v>0</v>
      </c>
      <c r="K118" s="1719">
        <v>0</v>
      </c>
      <c r="L118" s="1719">
        <v>0</v>
      </c>
      <c r="M118" s="1719">
        <v>0</v>
      </c>
      <c r="N118" s="1719">
        <v>0</v>
      </c>
      <c r="O118" s="1719"/>
      <c r="P118" s="1719">
        <v>0</v>
      </c>
      <c r="Q118" s="1719">
        <v>0</v>
      </c>
      <c r="R118" s="1720">
        <v>0</v>
      </c>
    </row>
    <row r="119" spans="1:18" s="206" customFormat="1">
      <c r="A119" s="1713"/>
      <c r="B119" s="1714" t="s">
        <v>179</v>
      </c>
      <c r="C119" s="1715" t="s">
        <v>149</v>
      </c>
      <c r="D119" s="1716" t="s">
        <v>150</v>
      </c>
      <c r="E119" s="1715" t="s">
        <v>431</v>
      </c>
      <c r="F119" s="1716" t="s">
        <v>432</v>
      </c>
      <c r="G119" s="1717" t="s">
        <v>81</v>
      </c>
      <c r="H119" s="1718">
        <v>2</v>
      </c>
      <c r="I119" s="1719">
        <f t="shared" si="2"/>
        <v>0</v>
      </c>
      <c r="J119" s="1719">
        <v>0</v>
      </c>
      <c r="K119" s="1719">
        <v>0</v>
      </c>
      <c r="L119" s="1719">
        <v>0</v>
      </c>
      <c r="M119" s="1719">
        <v>0</v>
      </c>
      <c r="N119" s="1719">
        <v>0</v>
      </c>
      <c r="O119" s="1719"/>
      <c r="P119" s="1719">
        <v>0</v>
      </c>
      <c r="Q119" s="1719">
        <v>0</v>
      </c>
      <c r="R119" s="1720">
        <v>0</v>
      </c>
    </row>
    <row r="120" spans="1:18" s="206" customFormat="1">
      <c r="A120" s="1713"/>
      <c r="B120" s="1714" t="s">
        <v>179</v>
      </c>
      <c r="C120" s="1715" t="s">
        <v>149</v>
      </c>
      <c r="D120" s="1716" t="s">
        <v>150</v>
      </c>
      <c r="E120" s="1715" t="s">
        <v>431</v>
      </c>
      <c r="F120" s="1716" t="s">
        <v>432</v>
      </c>
      <c r="G120" s="1717" t="s">
        <v>82</v>
      </c>
      <c r="H120" s="1718">
        <v>1</v>
      </c>
      <c r="I120" s="1719">
        <f t="shared" si="2"/>
        <v>0</v>
      </c>
      <c r="J120" s="1719">
        <v>0</v>
      </c>
      <c r="K120" s="1719">
        <v>0</v>
      </c>
      <c r="L120" s="1719">
        <v>0</v>
      </c>
      <c r="M120" s="1719">
        <v>0</v>
      </c>
      <c r="N120" s="1719">
        <v>0</v>
      </c>
      <c r="O120" s="1719"/>
      <c r="P120" s="1719">
        <v>0</v>
      </c>
      <c r="Q120" s="1719">
        <v>0</v>
      </c>
      <c r="R120" s="1720">
        <v>0</v>
      </c>
    </row>
    <row r="121" spans="1:18" s="206" customFormat="1">
      <c r="A121" s="1713"/>
      <c r="B121" s="1714" t="s">
        <v>179</v>
      </c>
      <c r="C121" s="1715" t="s">
        <v>149</v>
      </c>
      <c r="D121" s="1716" t="s">
        <v>150</v>
      </c>
      <c r="E121" s="1715" t="s">
        <v>431</v>
      </c>
      <c r="F121" s="1716" t="s">
        <v>432</v>
      </c>
      <c r="G121" s="1717" t="s">
        <v>83</v>
      </c>
      <c r="H121" s="1724">
        <v>0</v>
      </c>
      <c r="I121" s="1719">
        <f t="shared" si="2"/>
        <v>0</v>
      </c>
      <c r="J121" s="1719">
        <v>0</v>
      </c>
      <c r="K121" s="1719">
        <v>0</v>
      </c>
      <c r="L121" s="1719">
        <v>0</v>
      </c>
      <c r="M121" s="1719">
        <v>0</v>
      </c>
      <c r="N121" s="1719">
        <v>0</v>
      </c>
      <c r="O121" s="1719"/>
      <c r="P121" s="1719">
        <v>0</v>
      </c>
      <c r="Q121" s="1719">
        <v>0</v>
      </c>
      <c r="R121" s="1720">
        <v>0</v>
      </c>
    </row>
    <row r="122" spans="1:18" s="206" customFormat="1">
      <c r="A122" s="1713"/>
      <c r="B122" s="1714" t="s">
        <v>179</v>
      </c>
      <c r="C122" s="1715" t="s">
        <v>149</v>
      </c>
      <c r="D122" s="1716" t="s">
        <v>150</v>
      </c>
      <c r="E122" s="1715" t="s">
        <v>433</v>
      </c>
      <c r="F122" s="1716" t="s">
        <v>434</v>
      </c>
      <c r="G122" s="1717" t="s">
        <v>81</v>
      </c>
      <c r="H122" s="1718">
        <v>1</v>
      </c>
      <c r="I122" s="1719">
        <f t="shared" si="2"/>
        <v>206187000</v>
      </c>
      <c r="J122" s="1719">
        <v>0</v>
      </c>
      <c r="K122" s="1719">
        <v>206187000</v>
      </c>
      <c r="L122" s="1719">
        <v>0</v>
      </c>
      <c r="M122" s="1719">
        <v>0</v>
      </c>
      <c r="N122" s="1719">
        <v>0</v>
      </c>
      <c r="O122" s="1719"/>
      <c r="P122" s="1719">
        <v>0</v>
      </c>
      <c r="Q122" s="1719">
        <v>0</v>
      </c>
      <c r="R122" s="1720">
        <v>0</v>
      </c>
    </row>
    <row r="123" spans="1:18" s="206" customFormat="1">
      <c r="A123" s="1713"/>
      <c r="B123" s="1714" t="s">
        <v>179</v>
      </c>
      <c r="C123" s="1715" t="s">
        <v>149</v>
      </c>
      <c r="D123" s="1716" t="s">
        <v>150</v>
      </c>
      <c r="E123" s="1715" t="s">
        <v>433</v>
      </c>
      <c r="F123" s="1716" t="s">
        <v>434</v>
      </c>
      <c r="G123" s="1717" t="s">
        <v>82</v>
      </c>
      <c r="H123" s="1718">
        <v>1</v>
      </c>
      <c r="I123" s="1719">
        <f t="shared" si="2"/>
        <v>206187000</v>
      </c>
      <c r="J123" s="1719">
        <v>0</v>
      </c>
      <c r="K123" s="1719">
        <v>206187000</v>
      </c>
      <c r="L123" s="1719">
        <v>0</v>
      </c>
      <c r="M123" s="1719">
        <v>0</v>
      </c>
      <c r="N123" s="1719">
        <v>0</v>
      </c>
      <c r="O123" s="1719"/>
      <c r="P123" s="1719">
        <v>0</v>
      </c>
      <c r="Q123" s="1719">
        <v>0</v>
      </c>
      <c r="R123" s="1720">
        <v>0</v>
      </c>
    </row>
    <row r="124" spans="1:18" s="206" customFormat="1">
      <c r="A124" s="1713"/>
      <c r="B124" s="1714" t="s">
        <v>179</v>
      </c>
      <c r="C124" s="1715" t="s">
        <v>149</v>
      </c>
      <c r="D124" s="1716" t="s">
        <v>150</v>
      </c>
      <c r="E124" s="1715" t="s">
        <v>433</v>
      </c>
      <c r="F124" s="1716" t="s">
        <v>434</v>
      </c>
      <c r="G124" s="1717" t="s">
        <v>83</v>
      </c>
      <c r="H124" s="1718">
        <v>0</v>
      </c>
      <c r="I124" s="1719">
        <f t="shared" si="2"/>
        <v>0</v>
      </c>
      <c r="J124" s="1719">
        <v>0</v>
      </c>
      <c r="K124" s="1719">
        <v>0</v>
      </c>
      <c r="L124" s="1719">
        <v>0</v>
      </c>
      <c r="M124" s="1719">
        <v>0</v>
      </c>
      <c r="N124" s="1719">
        <v>0</v>
      </c>
      <c r="O124" s="1719"/>
      <c r="P124" s="1719">
        <v>0</v>
      </c>
      <c r="Q124" s="1719">
        <v>0</v>
      </c>
      <c r="R124" s="1720">
        <v>0</v>
      </c>
    </row>
    <row r="125" spans="1:18" s="206" customFormat="1">
      <c r="A125" s="1713"/>
      <c r="B125" s="1714" t="s">
        <v>179</v>
      </c>
      <c r="C125" s="1715" t="s">
        <v>149</v>
      </c>
      <c r="D125" s="1716" t="s">
        <v>150</v>
      </c>
      <c r="E125" s="1715" t="s">
        <v>435</v>
      </c>
      <c r="F125" s="1716" t="s">
        <v>436</v>
      </c>
      <c r="G125" s="1717" t="s">
        <v>81</v>
      </c>
      <c r="H125" s="1718">
        <v>0</v>
      </c>
      <c r="I125" s="1719">
        <f t="shared" si="2"/>
        <v>0</v>
      </c>
      <c r="J125" s="1719">
        <v>0</v>
      </c>
      <c r="K125" s="1719">
        <v>0</v>
      </c>
      <c r="L125" s="1719">
        <v>0</v>
      </c>
      <c r="M125" s="1719">
        <v>0</v>
      </c>
      <c r="N125" s="1719">
        <v>0</v>
      </c>
      <c r="O125" s="1719"/>
      <c r="P125" s="1719">
        <v>0</v>
      </c>
      <c r="Q125" s="1719">
        <v>0</v>
      </c>
      <c r="R125" s="1720">
        <v>0</v>
      </c>
    </row>
    <row r="126" spans="1:18" s="206" customFormat="1">
      <c r="A126" s="1713"/>
      <c r="B126" s="1714" t="s">
        <v>179</v>
      </c>
      <c r="C126" s="1715" t="s">
        <v>149</v>
      </c>
      <c r="D126" s="1716" t="s">
        <v>150</v>
      </c>
      <c r="E126" s="1715" t="s">
        <v>435</v>
      </c>
      <c r="F126" s="1716" t="s">
        <v>436</v>
      </c>
      <c r="G126" s="1717" t="s">
        <v>82</v>
      </c>
      <c r="H126" s="1718">
        <v>0</v>
      </c>
      <c r="I126" s="1719">
        <f t="shared" si="2"/>
        <v>0</v>
      </c>
      <c r="J126" s="1719">
        <v>0</v>
      </c>
      <c r="K126" s="1719">
        <v>0</v>
      </c>
      <c r="L126" s="1719">
        <v>0</v>
      </c>
      <c r="M126" s="1719">
        <v>0</v>
      </c>
      <c r="N126" s="1719">
        <v>0</v>
      </c>
      <c r="O126" s="1719"/>
      <c r="P126" s="1719">
        <v>0</v>
      </c>
      <c r="Q126" s="1719">
        <v>0</v>
      </c>
      <c r="R126" s="1720">
        <v>0</v>
      </c>
    </row>
    <row r="127" spans="1:18" s="206" customFormat="1">
      <c r="A127" s="1713"/>
      <c r="B127" s="1714" t="s">
        <v>179</v>
      </c>
      <c r="C127" s="1715" t="s">
        <v>149</v>
      </c>
      <c r="D127" s="1716" t="s">
        <v>150</v>
      </c>
      <c r="E127" s="1715" t="s">
        <v>435</v>
      </c>
      <c r="F127" s="1716" t="s">
        <v>436</v>
      </c>
      <c r="G127" s="1717" t="s">
        <v>83</v>
      </c>
      <c r="H127" s="1718">
        <v>0</v>
      </c>
      <c r="I127" s="1719">
        <f t="shared" si="2"/>
        <v>0</v>
      </c>
      <c r="J127" s="1719">
        <v>0</v>
      </c>
      <c r="K127" s="1719">
        <v>0</v>
      </c>
      <c r="L127" s="1719">
        <v>0</v>
      </c>
      <c r="M127" s="1719">
        <v>0</v>
      </c>
      <c r="N127" s="1719">
        <v>0</v>
      </c>
      <c r="O127" s="1719"/>
      <c r="P127" s="1719">
        <v>0</v>
      </c>
      <c r="Q127" s="1719">
        <v>0</v>
      </c>
      <c r="R127" s="1720">
        <v>0</v>
      </c>
    </row>
    <row r="128" spans="1:18" s="206" customFormat="1">
      <c r="A128" s="1713"/>
      <c r="B128" s="1714" t="s">
        <v>179</v>
      </c>
      <c r="C128" s="1715" t="s">
        <v>149</v>
      </c>
      <c r="D128" s="1716" t="s">
        <v>150</v>
      </c>
      <c r="E128" s="1715" t="s">
        <v>437</v>
      </c>
      <c r="F128" s="1716" t="s">
        <v>438</v>
      </c>
      <c r="G128" s="1717" t="s">
        <v>81</v>
      </c>
      <c r="H128" s="1718">
        <v>0</v>
      </c>
      <c r="I128" s="1719">
        <v>0</v>
      </c>
      <c r="J128" s="1719">
        <v>0</v>
      </c>
      <c r="K128" s="1719">
        <v>0</v>
      </c>
      <c r="L128" s="1719">
        <v>0</v>
      </c>
      <c r="M128" s="1719">
        <v>0</v>
      </c>
      <c r="N128" s="1719">
        <v>0</v>
      </c>
      <c r="O128" s="1719"/>
      <c r="P128" s="1719">
        <v>0</v>
      </c>
      <c r="Q128" s="1719">
        <v>0</v>
      </c>
      <c r="R128" s="1720">
        <v>0</v>
      </c>
    </row>
    <row r="129" spans="1:18" s="206" customFormat="1">
      <c r="A129" s="1713"/>
      <c r="B129" s="1714" t="s">
        <v>179</v>
      </c>
      <c r="C129" s="1715" t="s">
        <v>149</v>
      </c>
      <c r="D129" s="1716" t="s">
        <v>150</v>
      </c>
      <c r="E129" s="1715" t="s">
        <v>437</v>
      </c>
      <c r="F129" s="1716" t="s">
        <v>438</v>
      </c>
      <c r="G129" s="1717" t="s">
        <v>82</v>
      </c>
      <c r="H129" s="1718">
        <v>0</v>
      </c>
      <c r="I129" s="1719">
        <f t="shared" si="2"/>
        <v>0</v>
      </c>
      <c r="J129" s="1719">
        <v>0</v>
      </c>
      <c r="K129" s="1719">
        <v>0</v>
      </c>
      <c r="L129" s="1719">
        <v>0</v>
      </c>
      <c r="M129" s="1719">
        <v>0</v>
      </c>
      <c r="N129" s="1719">
        <v>0</v>
      </c>
      <c r="O129" s="1719"/>
      <c r="P129" s="1719">
        <v>0</v>
      </c>
      <c r="Q129" s="1719">
        <v>0</v>
      </c>
      <c r="R129" s="1720">
        <v>0</v>
      </c>
    </row>
    <row r="130" spans="1:18" s="206" customFormat="1">
      <c r="A130" s="1713"/>
      <c r="B130" s="1714" t="s">
        <v>179</v>
      </c>
      <c r="C130" s="1715" t="s">
        <v>149</v>
      </c>
      <c r="D130" s="1716" t="s">
        <v>150</v>
      </c>
      <c r="E130" s="1715" t="s">
        <v>437</v>
      </c>
      <c r="F130" s="1716" t="s">
        <v>438</v>
      </c>
      <c r="G130" s="1717" t="s">
        <v>83</v>
      </c>
      <c r="H130" s="1718">
        <v>0</v>
      </c>
      <c r="I130" s="1719">
        <f t="shared" si="2"/>
        <v>0</v>
      </c>
      <c r="J130" s="1719">
        <v>0</v>
      </c>
      <c r="K130" s="1719">
        <v>0</v>
      </c>
      <c r="L130" s="1719">
        <v>0</v>
      </c>
      <c r="M130" s="1719">
        <v>0</v>
      </c>
      <c r="N130" s="1719">
        <v>0</v>
      </c>
      <c r="O130" s="1719"/>
      <c r="P130" s="1719">
        <v>0</v>
      </c>
      <c r="Q130" s="1719">
        <v>0</v>
      </c>
      <c r="R130" s="1720">
        <v>0</v>
      </c>
    </row>
    <row r="131" spans="1:18" s="206" customFormat="1" ht="24" customHeight="1">
      <c r="A131" s="1713"/>
      <c r="B131" s="1714" t="s">
        <v>179</v>
      </c>
      <c r="C131" s="1715" t="s">
        <v>149</v>
      </c>
      <c r="D131" s="1716" t="s">
        <v>150</v>
      </c>
      <c r="E131" s="1715" t="s">
        <v>439</v>
      </c>
      <c r="F131" s="1716" t="s">
        <v>589</v>
      </c>
      <c r="G131" s="1717" t="s">
        <v>81</v>
      </c>
      <c r="H131" s="1718">
        <v>0</v>
      </c>
      <c r="I131" s="1719">
        <f t="shared" si="2"/>
        <v>0</v>
      </c>
      <c r="J131" s="1719">
        <v>0</v>
      </c>
      <c r="K131" s="1719">
        <v>0</v>
      </c>
      <c r="L131" s="1719">
        <v>0</v>
      </c>
      <c r="M131" s="1719">
        <v>0</v>
      </c>
      <c r="N131" s="1719">
        <v>0</v>
      </c>
      <c r="O131" s="1719"/>
      <c r="P131" s="1719">
        <v>0</v>
      </c>
      <c r="Q131" s="1719">
        <v>0</v>
      </c>
      <c r="R131" s="1720">
        <v>0</v>
      </c>
    </row>
    <row r="132" spans="1:18" s="206" customFormat="1" ht="24" customHeight="1">
      <c r="A132" s="1713"/>
      <c r="B132" s="1714" t="s">
        <v>179</v>
      </c>
      <c r="C132" s="1715" t="s">
        <v>149</v>
      </c>
      <c r="D132" s="1716" t="s">
        <v>150</v>
      </c>
      <c r="E132" s="1715" t="s">
        <v>439</v>
      </c>
      <c r="F132" s="1716" t="s">
        <v>589</v>
      </c>
      <c r="G132" s="1717" t="s">
        <v>82</v>
      </c>
      <c r="H132" s="1718">
        <v>0</v>
      </c>
      <c r="I132" s="1719">
        <f t="shared" si="2"/>
        <v>0</v>
      </c>
      <c r="J132" s="1719">
        <v>0</v>
      </c>
      <c r="K132" s="1719">
        <v>0</v>
      </c>
      <c r="L132" s="1719">
        <v>0</v>
      </c>
      <c r="M132" s="1719">
        <v>0</v>
      </c>
      <c r="N132" s="1719">
        <v>0</v>
      </c>
      <c r="O132" s="1719"/>
      <c r="P132" s="1719">
        <v>0</v>
      </c>
      <c r="Q132" s="1719">
        <v>0</v>
      </c>
      <c r="R132" s="1720">
        <v>0</v>
      </c>
    </row>
    <row r="133" spans="1:18" s="206" customFormat="1" ht="24" customHeight="1">
      <c r="A133" s="1713"/>
      <c r="B133" s="1714" t="s">
        <v>179</v>
      </c>
      <c r="C133" s="1715" t="s">
        <v>149</v>
      </c>
      <c r="D133" s="1716" t="s">
        <v>150</v>
      </c>
      <c r="E133" s="1715" t="s">
        <v>439</v>
      </c>
      <c r="F133" s="1716" t="s">
        <v>589</v>
      </c>
      <c r="G133" s="1717" t="s">
        <v>83</v>
      </c>
      <c r="H133" s="1718">
        <v>0</v>
      </c>
      <c r="I133" s="1719">
        <f t="shared" si="2"/>
        <v>0</v>
      </c>
      <c r="J133" s="1719">
        <v>0</v>
      </c>
      <c r="K133" s="1719">
        <v>0</v>
      </c>
      <c r="L133" s="1719">
        <v>0</v>
      </c>
      <c r="M133" s="1719">
        <v>0</v>
      </c>
      <c r="N133" s="1719">
        <v>0</v>
      </c>
      <c r="O133" s="1719"/>
      <c r="P133" s="1719">
        <v>0</v>
      </c>
      <c r="Q133" s="1719">
        <v>0</v>
      </c>
      <c r="R133" s="1720">
        <v>0</v>
      </c>
    </row>
    <row r="134" spans="1:18" s="206" customFormat="1" ht="60" customHeight="1">
      <c r="A134" s="1713"/>
      <c r="B134" s="1714" t="s">
        <v>179</v>
      </c>
      <c r="C134" s="1715" t="s">
        <v>149</v>
      </c>
      <c r="D134" s="1716" t="s">
        <v>150</v>
      </c>
      <c r="E134" s="1715" t="s">
        <v>440</v>
      </c>
      <c r="F134" s="1716" t="s">
        <v>441</v>
      </c>
      <c r="G134" s="1717" t="s">
        <v>81</v>
      </c>
      <c r="H134" s="1718">
        <v>0</v>
      </c>
      <c r="I134" s="1719">
        <f t="shared" si="2"/>
        <v>0</v>
      </c>
      <c r="J134" s="1719">
        <v>1</v>
      </c>
      <c r="K134" s="1719">
        <v>0</v>
      </c>
      <c r="L134" s="1719"/>
      <c r="M134" s="1719"/>
      <c r="N134" s="1719"/>
      <c r="O134" s="1719"/>
      <c r="P134" s="1719"/>
      <c r="Q134" s="1719"/>
      <c r="R134" s="1720"/>
    </row>
    <row r="135" spans="1:18" s="206" customFormat="1" ht="60" customHeight="1">
      <c r="A135" s="1713"/>
      <c r="B135" s="1714" t="s">
        <v>179</v>
      </c>
      <c r="C135" s="1715" t="s">
        <v>149</v>
      </c>
      <c r="D135" s="1716" t="s">
        <v>150</v>
      </c>
      <c r="E135" s="1715" t="s">
        <v>440</v>
      </c>
      <c r="F135" s="1716" t="s">
        <v>441</v>
      </c>
      <c r="G135" s="1717" t="s">
        <v>82</v>
      </c>
      <c r="H135" s="1718">
        <v>0</v>
      </c>
      <c r="I135" s="1719">
        <f t="shared" si="2"/>
        <v>0</v>
      </c>
      <c r="J135" s="1719">
        <v>0</v>
      </c>
      <c r="K135" s="1719">
        <v>0</v>
      </c>
      <c r="L135" s="1719"/>
      <c r="M135" s="1719"/>
      <c r="N135" s="1719"/>
      <c r="O135" s="1719"/>
      <c r="P135" s="1719"/>
      <c r="Q135" s="1719"/>
      <c r="R135" s="1720"/>
    </row>
    <row r="136" spans="1:18" s="206" customFormat="1" ht="22.5">
      <c r="A136" s="1713"/>
      <c r="B136" s="1714" t="s">
        <v>179</v>
      </c>
      <c r="C136" s="1715" t="s">
        <v>149</v>
      </c>
      <c r="D136" s="1716" t="s">
        <v>150</v>
      </c>
      <c r="E136" s="1715" t="s">
        <v>440</v>
      </c>
      <c r="F136" s="1716" t="s">
        <v>441</v>
      </c>
      <c r="G136" s="1717" t="s">
        <v>83</v>
      </c>
      <c r="H136" s="1718">
        <v>0</v>
      </c>
      <c r="I136" s="1719">
        <f t="shared" si="2"/>
        <v>0</v>
      </c>
      <c r="J136" s="1719">
        <v>0</v>
      </c>
      <c r="K136" s="1719">
        <v>0</v>
      </c>
      <c r="L136" s="1719"/>
      <c r="M136" s="1719"/>
      <c r="N136" s="1719"/>
      <c r="O136" s="1719"/>
      <c r="P136" s="1719"/>
      <c r="Q136" s="1719"/>
      <c r="R136" s="1720"/>
    </row>
    <row r="137" spans="1:18" s="206" customFormat="1" ht="22.5">
      <c r="A137" s="1713"/>
      <c r="B137" s="1714" t="s">
        <v>179</v>
      </c>
      <c r="C137" s="1715" t="s">
        <v>149</v>
      </c>
      <c r="D137" s="1716" t="s">
        <v>150</v>
      </c>
      <c r="E137" s="1715" t="s">
        <v>444</v>
      </c>
      <c r="F137" s="1716" t="s">
        <v>590</v>
      </c>
      <c r="G137" s="1717" t="s">
        <v>81</v>
      </c>
      <c r="H137" s="1718">
        <v>1</v>
      </c>
      <c r="I137" s="1719">
        <f t="shared" si="2"/>
        <v>150000000</v>
      </c>
      <c r="J137" s="1719">
        <v>0</v>
      </c>
      <c r="K137" s="1719">
        <v>150000000</v>
      </c>
      <c r="L137" s="1719">
        <v>0</v>
      </c>
      <c r="M137" s="1719">
        <v>0</v>
      </c>
      <c r="N137" s="1719">
        <v>0</v>
      </c>
      <c r="O137" s="1719"/>
      <c r="P137" s="1719">
        <v>0</v>
      </c>
      <c r="Q137" s="1719">
        <v>0</v>
      </c>
      <c r="R137" s="1720">
        <v>0</v>
      </c>
    </row>
    <row r="138" spans="1:18" s="206" customFormat="1" ht="22.5">
      <c r="A138" s="1713"/>
      <c r="B138" s="1714" t="s">
        <v>179</v>
      </c>
      <c r="C138" s="1715" t="s">
        <v>149</v>
      </c>
      <c r="D138" s="1716" t="s">
        <v>150</v>
      </c>
      <c r="E138" s="1715" t="s">
        <v>444</v>
      </c>
      <c r="F138" s="1716" t="s">
        <v>590</v>
      </c>
      <c r="G138" s="1717" t="s">
        <v>82</v>
      </c>
      <c r="H138" s="1718">
        <v>1</v>
      </c>
      <c r="I138" s="1719">
        <f t="shared" si="2"/>
        <v>150000000</v>
      </c>
      <c r="J138" s="1719">
        <v>0</v>
      </c>
      <c r="K138" s="1719">
        <v>150000000</v>
      </c>
      <c r="L138" s="1719">
        <v>0</v>
      </c>
      <c r="M138" s="1719">
        <v>0</v>
      </c>
      <c r="N138" s="1719">
        <v>0</v>
      </c>
      <c r="O138" s="1719"/>
      <c r="P138" s="1719">
        <v>0</v>
      </c>
      <c r="Q138" s="1719">
        <v>0</v>
      </c>
      <c r="R138" s="1720">
        <v>0</v>
      </c>
    </row>
    <row r="139" spans="1:18" s="206" customFormat="1" ht="22.5">
      <c r="A139" s="1713"/>
      <c r="B139" s="1714" t="s">
        <v>179</v>
      </c>
      <c r="C139" s="1715" t="s">
        <v>149</v>
      </c>
      <c r="D139" s="1716" t="s">
        <v>150</v>
      </c>
      <c r="E139" s="1715" t="s">
        <v>444</v>
      </c>
      <c r="F139" s="1716" t="s">
        <v>590</v>
      </c>
      <c r="G139" s="1717" t="s">
        <v>83</v>
      </c>
      <c r="H139" s="1718">
        <v>0</v>
      </c>
      <c r="I139" s="1719">
        <f t="shared" si="2"/>
        <v>0</v>
      </c>
      <c r="J139" s="1719">
        <v>0</v>
      </c>
      <c r="K139" s="1719">
        <v>0</v>
      </c>
      <c r="L139" s="1719">
        <v>0</v>
      </c>
      <c r="M139" s="1719">
        <v>0</v>
      </c>
      <c r="N139" s="1719">
        <v>0</v>
      </c>
      <c r="O139" s="1719"/>
      <c r="P139" s="1719">
        <v>0</v>
      </c>
      <c r="Q139" s="1719">
        <v>0</v>
      </c>
      <c r="R139" s="1720">
        <v>0</v>
      </c>
    </row>
    <row r="140" spans="1:18" s="206" customFormat="1">
      <c r="A140" s="1713"/>
      <c r="B140" s="1714" t="s">
        <v>179</v>
      </c>
      <c r="C140" s="1715" t="s">
        <v>149</v>
      </c>
      <c r="D140" s="1716" t="s">
        <v>150</v>
      </c>
      <c r="E140" s="1715" t="s">
        <v>445</v>
      </c>
      <c r="F140" s="1716" t="s">
        <v>446</v>
      </c>
      <c r="G140" s="1717" t="s">
        <v>81</v>
      </c>
      <c r="H140" s="1718">
        <v>16</v>
      </c>
      <c r="I140" s="1719">
        <f t="shared" si="2"/>
        <v>0</v>
      </c>
      <c r="J140" s="1719">
        <v>0</v>
      </c>
      <c r="K140" s="1719">
        <v>0</v>
      </c>
      <c r="L140" s="1719">
        <v>0</v>
      </c>
      <c r="M140" s="1719">
        <v>0</v>
      </c>
      <c r="N140" s="1719">
        <v>0</v>
      </c>
      <c r="O140" s="1719"/>
      <c r="P140" s="1719">
        <v>0</v>
      </c>
      <c r="Q140" s="1719">
        <v>0</v>
      </c>
      <c r="R140" s="1720">
        <v>0</v>
      </c>
    </row>
    <row r="141" spans="1:18" s="206" customFormat="1">
      <c r="A141" s="1713"/>
      <c r="B141" s="1714" t="s">
        <v>179</v>
      </c>
      <c r="C141" s="1715" t="s">
        <v>149</v>
      </c>
      <c r="D141" s="1716" t="s">
        <v>150</v>
      </c>
      <c r="E141" s="1715" t="s">
        <v>445</v>
      </c>
      <c r="F141" s="1716" t="s">
        <v>446</v>
      </c>
      <c r="G141" s="1717" t="s">
        <v>82</v>
      </c>
      <c r="H141" s="1718">
        <v>16</v>
      </c>
      <c r="I141" s="1719">
        <f t="shared" si="2"/>
        <v>0</v>
      </c>
      <c r="J141" s="1719">
        <v>0</v>
      </c>
      <c r="K141" s="1719">
        <v>0</v>
      </c>
      <c r="L141" s="1719">
        <v>0</v>
      </c>
      <c r="M141" s="1719">
        <v>0</v>
      </c>
      <c r="N141" s="1719">
        <v>0</v>
      </c>
      <c r="O141" s="1719"/>
      <c r="P141" s="1719">
        <v>0</v>
      </c>
      <c r="Q141" s="1719">
        <v>0</v>
      </c>
      <c r="R141" s="1720">
        <v>0</v>
      </c>
    </row>
    <row r="142" spans="1:18" s="206" customFormat="1">
      <c r="A142" s="1713"/>
      <c r="B142" s="1714" t="s">
        <v>179</v>
      </c>
      <c r="C142" s="1715" t="s">
        <v>149</v>
      </c>
      <c r="D142" s="1716" t="s">
        <v>150</v>
      </c>
      <c r="E142" s="1715" t="s">
        <v>445</v>
      </c>
      <c r="F142" s="1716" t="s">
        <v>446</v>
      </c>
      <c r="G142" s="1717" t="s">
        <v>83</v>
      </c>
      <c r="H142" s="1718">
        <v>0</v>
      </c>
      <c r="I142" s="1719">
        <f t="shared" si="2"/>
        <v>0</v>
      </c>
      <c r="J142" s="1719">
        <v>0</v>
      </c>
      <c r="K142" s="1719">
        <v>0</v>
      </c>
      <c r="L142" s="1719">
        <v>0</v>
      </c>
      <c r="M142" s="1719">
        <v>0</v>
      </c>
      <c r="N142" s="1719">
        <v>0</v>
      </c>
      <c r="O142" s="1719"/>
      <c r="P142" s="1719">
        <v>0</v>
      </c>
      <c r="Q142" s="1719">
        <v>0</v>
      </c>
      <c r="R142" s="1720">
        <v>0</v>
      </c>
    </row>
    <row r="143" spans="1:18" s="206" customFormat="1">
      <c r="A143" s="1713"/>
      <c r="B143" s="1714" t="s">
        <v>179</v>
      </c>
      <c r="C143" s="1715" t="s">
        <v>149</v>
      </c>
      <c r="D143" s="1716" t="s">
        <v>150</v>
      </c>
      <c r="E143" s="1715" t="s">
        <v>447</v>
      </c>
      <c r="F143" s="1716" t="s">
        <v>448</v>
      </c>
      <c r="G143" s="1717" t="s">
        <v>81</v>
      </c>
      <c r="H143" s="1718">
        <v>30</v>
      </c>
      <c r="I143" s="1719">
        <f t="shared" si="2"/>
        <v>0</v>
      </c>
      <c r="J143" s="1719">
        <v>0</v>
      </c>
      <c r="K143" s="1719">
        <v>0</v>
      </c>
      <c r="L143" s="1719">
        <v>0</v>
      </c>
      <c r="M143" s="1719">
        <v>0</v>
      </c>
      <c r="N143" s="1719">
        <v>0</v>
      </c>
      <c r="O143" s="1719"/>
      <c r="P143" s="1719">
        <v>0</v>
      </c>
      <c r="Q143" s="1719">
        <v>0</v>
      </c>
      <c r="R143" s="1720">
        <v>0</v>
      </c>
    </row>
    <row r="144" spans="1:18" s="206" customFormat="1">
      <c r="A144" s="1713"/>
      <c r="B144" s="1714" t="s">
        <v>179</v>
      </c>
      <c r="C144" s="1715" t="s">
        <v>149</v>
      </c>
      <c r="D144" s="1716" t="s">
        <v>150</v>
      </c>
      <c r="E144" s="1715" t="s">
        <v>447</v>
      </c>
      <c r="F144" s="1716" t="s">
        <v>448</v>
      </c>
      <c r="G144" s="1717" t="s">
        <v>82</v>
      </c>
      <c r="H144" s="1718">
        <v>30</v>
      </c>
      <c r="I144" s="1719">
        <f t="shared" si="2"/>
        <v>0</v>
      </c>
      <c r="J144" s="1719">
        <v>0</v>
      </c>
      <c r="K144" s="1719">
        <v>0</v>
      </c>
      <c r="L144" s="1719">
        <v>0</v>
      </c>
      <c r="M144" s="1719">
        <v>0</v>
      </c>
      <c r="N144" s="1719">
        <v>0</v>
      </c>
      <c r="O144" s="1719"/>
      <c r="P144" s="1719">
        <v>0</v>
      </c>
      <c r="Q144" s="1719">
        <v>0</v>
      </c>
      <c r="R144" s="1720">
        <v>0</v>
      </c>
    </row>
    <row r="145" spans="1:18" s="206" customFormat="1">
      <c r="A145" s="1713"/>
      <c r="B145" s="1714" t="s">
        <v>179</v>
      </c>
      <c r="C145" s="1715" t="s">
        <v>149</v>
      </c>
      <c r="D145" s="1716" t="s">
        <v>150</v>
      </c>
      <c r="E145" s="1715" t="s">
        <v>447</v>
      </c>
      <c r="F145" s="1716" t="s">
        <v>448</v>
      </c>
      <c r="G145" s="1717" t="s">
        <v>83</v>
      </c>
      <c r="H145" s="1718">
        <v>30</v>
      </c>
      <c r="I145" s="1719">
        <f t="shared" si="2"/>
        <v>0</v>
      </c>
      <c r="J145" s="1719">
        <v>0</v>
      </c>
      <c r="K145" s="1719">
        <v>0</v>
      </c>
      <c r="L145" s="1719">
        <v>0</v>
      </c>
      <c r="M145" s="1719">
        <v>0</v>
      </c>
      <c r="N145" s="1719">
        <v>0</v>
      </c>
      <c r="O145" s="1719"/>
      <c r="P145" s="1719">
        <v>0</v>
      </c>
      <c r="Q145" s="1719">
        <v>0</v>
      </c>
      <c r="R145" s="1720">
        <v>0</v>
      </c>
    </row>
    <row r="146" spans="1:18" s="206" customFormat="1" ht="24" customHeight="1">
      <c r="A146" s="1713"/>
      <c r="B146" s="1714" t="s">
        <v>179</v>
      </c>
      <c r="C146" s="1715" t="s">
        <v>149</v>
      </c>
      <c r="D146" s="1716" t="s">
        <v>150</v>
      </c>
      <c r="E146" s="1715" t="s">
        <v>449</v>
      </c>
      <c r="F146" s="1716" t="s">
        <v>450</v>
      </c>
      <c r="G146" s="1717" t="s">
        <v>81</v>
      </c>
      <c r="H146" s="1718">
        <v>5</v>
      </c>
      <c r="I146" s="1719">
        <f t="shared" si="2"/>
        <v>0</v>
      </c>
      <c r="J146" s="1719">
        <v>0</v>
      </c>
      <c r="K146" s="1719">
        <v>0</v>
      </c>
      <c r="L146" s="1719">
        <v>0</v>
      </c>
      <c r="M146" s="1719">
        <v>0</v>
      </c>
      <c r="N146" s="1719">
        <v>0</v>
      </c>
      <c r="O146" s="1719"/>
      <c r="P146" s="1719">
        <v>0</v>
      </c>
      <c r="Q146" s="1719">
        <v>0</v>
      </c>
      <c r="R146" s="1720">
        <v>0</v>
      </c>
    </row>
    <row r="147" spans="1:18" s="206" customFormat="1" ht="24" customHeight="1">
      <c r="A147" s="1713"/>
      <c r="B147" s="1714" t="s">
        <v>179</v>
      </c>
      <c r="C147" s="1715" t="s">
        <v>149</v>
      </c>
      <c r="D147" s="1716" t="s">
        <v>150</v>
      </c>
      <c r="E147" s="1715" t="s">
        <v>449</v>
      </c>
      <c r="F147" s="1716" t="s">
        <v>450</v>
      </c>
      <c r="G147" s="1717" t="s">
        <v>82</v>
      </c>
      <c r="H147" s="1718">
        <v>5</v>
      </c>
      <c r="I147" s="1719">
        <f t="shared" si="2"/>
        <v>0</v>
      </c>
      <c r="J147" s="1719">
        <v>0</v>
      </c>
      <c r="K147" s="1719">
        <v>0</v>
      </c>
      <c r="L147" s="1719">
        <v>0</v>
      </c>
      <c r="M147" s="1719">
        <v>0</v>
      </c>
      <c r="N147" s="1719">
        <v>0</v>
      </c>
      <c r="O147" s="1719"/>
      <c r="P147" s="1719">
        <v>0</v>
      </c>
      <c r="Q147" s="1719">
        <v>0</v>
      </c>
      <c r="R147" s="1720">
        <v>0</v>
      </c>
    </row>
    <row r="148" spans="1:18" s="206" customFormat="1" ht="24" customHeight="1">
      <c r="A148" s="1713"/>
      <c r="B148" s="1714" t="s">
        <v>179</v>
      </c>
      <c r="C148" s="1715" t="s">
        <v>149</v>
      </c>
      <c r="D148" s="1716" t="s">
        <v>150</v>
      </c>
      <c r="E148" s="1715" t="s">
        <v>449</v>
      </c>
      <c r="F148" s="1716" t="s">
        <v>450</v>
      </c>
      <c r="G148" s="1717" t="s">
        <v>83</v>
      </c>
      <c r="H148" s="1718">
        <v>0</v>
      </c>
      <c r="I148" s="1719">
        <f t="shared" si="2"/>
        <v>0</v>
      </c>
      <c r="J148" s="1719">
        <v>0</v>
      </c>
      <c r="K148" s="1719">
        <v>0</v>
      </c>
      <c r="L148" s="1719">
        <v>0</v>
      </c>
      <c r="M148" s="1719">
        <v>0</v>
      </c>
      <c r="N148" s="1719">
        <v>0</v>
      </c>
      <c r="O148" s="1719"/>
      <c r="P148" s="1719">
        <v>0</v>
      </c>
      <c r="Q148" s="1719">
        <v>0</v>
      </c>
      <c r="R148" s="1720">
        <v>0</v>
      </c>
    </row>
    <row r="149" spans="1:18" s="206" customFormat="1">
      <c r="A149" s="1713"/>
      <c r="B149" s="1714" t="s">
        <v>179</v>
      </c>
      <c r="C149" s="1715" t="s">
        <v>149</v>
      </c>
      <c r="D149" s="1716" t="s">
        <v>150</v>
      </c>
      <c r="E149" s="1715" t="s">
        <v>451</v>
      </c>
      <c r="F149" s="1716" t="s">
        <v>452</v>
      </c>
      <c r="G149" s="1717" t="s">
        <v>81</v>
      </c>
      <c r="H149" s="1718">
        <v>60</v>
      </c>
      <c r="I149" s="1719">
        <f t="shared" si="2"/>
        <v>7813000</v>
      </c>
      <c r="J149" s="1719">
        <v>0</v>
      </c>
      <c r="K149" s="1719">
        <v>7813000</v>
      </c>
      <c r="L149" s="1719">
        <v>0</v>
      </c>
      <c r="M149" s="1719">
        <v>0</v>
      </c>
      <c r="N149" s="1719">
        <v>0</v>
      </c>
      <c r="O149" s="1719"/>
      <c r="P149" s="1719">
        <v>0</v>
      </c>
      <c r="Q149" s="1719">
        <v>0</v>
      </c>
      <c r="R149" s="1720">
        <v>0</v>
      </c>
    </row>
    <row r="150" spans="1:18" s="206" customFormat="1">
      <c r="A150" s="1713"/>
      <c r="B150" s="1714" t="s">
        <v>179</v>
      </c>
      <c r="C150" s="1715" t="s">
        <v>149</v>
      </c>
      <c r="D150" s="1716" t="s">
        <v>150</v>
      </c>
      <c r="E150" s="1715" t="s">
        <v>451</v>
      </c>
      <c r="F150" s="1716" t="s">
        <v>452</v>
      </c>
      <c r="G150" s="1717" t="s">
        <v>82</v>
      </c>
      <c r="H150" s="1718">
        <v>60</v>
      </c>
      <c r="I150" s="1719">
        <f t="shared" si="2"/>
        <v>7813000</v>
      </c>
      <c r="J150" s="1719">
        <v>0</v>
      </c>
      <c r="K150" s="1719">
        <v>7813000</v>
      </c>
      <c r="L150" s="1719">
        <v>0</v>
      </c>
      <c r="M150" s="1719">
        <v>0</v>
      </c>
      <c r="N150" s="1719">
        <v>0</v>
      </c>
      <c r="O150" s="1719"/>
      <c r="P150" s="1719">
        <v>0</v>
      </c>
      <c r="Q150" s="1719">
        <v>0</v>
      </c>
      <c r="R150" s="1720">
        <v>0</v>
      </c>
    </row>
    <row r="151" spans="1:18" s="206" customFormat="1">
      <c r="A151" s="1713"/>
      <c r="B151" s="1714" t="s">
        <v>179</v>
      </c>
      <c r="C151" s="1715" t="s">
        <v>149</v>
      </c>
      <c r="D151" s="1716" t="s">
        <v>150</v>
      </c>
      <c r="E151" s="1715" t="s">
        <v>451</v>
      </c>
      <c r="F151" s="1716" t="s">
        <v>452</v>
      </c>
      <c r="G151" s="1717" t="s">
        <v>83</v>
      </c>
      <c r="H151" s="1718">
        <v>0</v>
      </c>
      <c r="I151" s="1719">
        <f t="shared" si="2"/>
        <v>0</v>
      </c>
      <c r="J151" s="1719">
        <v>0</v>
      </c>
      <c r="K151" s="1719">
        <v>0</v>
      </c>
      <c r="L151" s="1719">
        <v>0</v>
      </c>
      <c r="M151" s="1719">
        <v>0</v>
      </c>
      <c r="N151" s="1719">
        <v>0</v>
      </c>
      <c r="O151" s="1719"/>
      <c r="P151" s="1719">
        <v>0</v>
      </c>
      <c r="Q151" s="1719">
        <v>0</v>
      </c>
      <c r="R151" s="1720">
        <v>0</v>
      </c>
    </row>
    <row r="152" spans="1:18" s="206" customFormat="1" ht="24" customHeight="1">
      <c r="A152" s="1713"/>
      <c r="B152" s="1714" t="s">
        <v>179</v>
      </c>
      <c r="C152" s="1715" t="s">
        <v>149</v>
      </c>
      <c r="D152" s="1716" t="s">
        <v>150</v>
      </c>
      <c r="E152" s="1715" t="s">
        <v>456</v>
      </c>
      <c r="F152" s="1716" t="s">
        <v>591</v>
      </c>
      <c r="G152" s="1717" t="s">
        <v>81</v>
      </c>
      <c r="H152" s="1718">
        <v>150</v>
      </c>
      <c r="I152" s="1719">
        <f t="shared" si="2"/>
        <v>0</v>
      </c>
      <c r="J152" s="1719">
        <v>0</v>
      </c>
      <c r="K152" s="1719">
        <v>0</v>
      </c>
      <c r="L152" s="1719">
        <v>0</v>
      </c>
      <c r="M152" s="1719">
        <v>0</v>
      </c>
      <c r="N152" s="1719">
        <v>0</v>
      </c>
      <c r="O152" s="1719"/>
      <c r="P152" s="1719">
        <v>0</v>
      </c>
      <c r="Q152" s="1719">
        <v>0</v>
      </c>
      <c r="R152" s="1720">
        <v>0</v>
      </c>
    </row>
    <row r="153" spans="1:18" s="206" customFormat="1" ht="24" customHeight="1">
      <c r="A153" s="1713"/>
      <c r="B153" s="1714" t="s">
        <v>179</v>
      </c>
      <c r="C153" s="1715" t="s">
        <v>149</v>
      </c>
      <c r="D153" s="1716" t="s">
        <v>150</v>
      </c>
      <c r="E153" s="1715" t="s">
        <v>456</v>
      </c>
      <c r="F153" s="1716" t="s">
        <v>591</v>
      </c>
      <c r="G153" s="1717" t="s">
        <v>82</v>
      </c>
      <c r="H153" s="1718">
        <v>1050</v>
      </c>
      <c r="I153" s="1719">
        <f t="shared" si="2"/>
        <v>0</v>
      </c>
      <c r="J153" s="1719">
        <v>0</v>
      </c>
      <c r="K153" s="1719">
        <v>0</v>
      </c>
      <c r="L153" s="1719">
        <v>0</v>
      </c>
      <c r="M153" s="1719">
        <v>0</v>
      </c>
      <c r="N153" s="1719">
        <v>0</v>
      </c>
      <c r="O153" s="1719"/>
      <c r="P153" s="1719">
        <v>0</v>
      </c>
      <c r="Q153" s="1719">
        <v>0</v>
      </c>
      <c r="R153" s="1720">
        <v>0</v>
      </c>
    </row>
    <row r="154" spans="1:18" s="206" customFormat="1" ht="24" customHeight="1">
      <c r="A154" s="1713"/>
      <c r="B154" s="1714" t="s">
        <v>179</v>
      </c>
      <c r="C154" s="1715" t="s">
        <v>149</v>
      </c>
      <c r="D154" s="1716" t="s">
        <v>150</v>
      </c>
      <c r="E154" s="1715" t="s">
        <v>456</v>
      </c>
      <c r="F154" s="1716" t="s">
        <v>591</v>
      </c>
      <c r="G154" s="1717" t="s">
        <v>83</v>
      </c>
      <c r="H154" s="1724">
        <v>800</v>
      </c>
      <c r="I154" s="1719">
        <f t="shared" si="2"/>
        <v>0</v>
      </c>
      <c r="J154" s="1719">
        <v>0</v>
      </c>
      <c r="K154" s="1719">
        <v>0</v>
      </c>
      <c r="L154" s="1719">
        <v>0</v>
      </c>
      <c r="M154" s="1719">
        <v>0</v>
      </c>
      <c r="N154" s="1719">
        <v>0</v>
      </c>
      <c r="O154" s="1719"/>
      <c r="P154" s="1719">
        <v>0</v>
      </c>
      <c r="Q154" s="1719">
        <v>0</v>
      </c>
      <c r="R154" s="1720">
        <v>0</v>
      </c>
    </row>
    <row r="155" spans="1:18" s="206" customFormat="1">
      <c r="A155" s="1713"/>
      <c r="B155" s="1714" t="s">
        <v>179</v>
      </c>
      <c r="C155" s="1715" t="s">
        <v>149</v>
      </c>
      <c r="D155" s="1716" t="s">
        <v>150</v>
      </c>
      <c r="E155" s="1715" t="s">
        <v>457</v>
      </c>
      <c r="F155" s="1716" t="s">
        <v>458</v>
      </c>
      <c r="G155" s="1717" t="s">
        <v>81</v>
      </c>
      <c r="H155" s="1718">
        <v>50</v>
      </c>
      <c r="I155" s="1719">
        <f t="shared" si="2"/>
        <v>0</v>
      </c>
      <c r="J155" s="1719">
        <v>0</v>
      </c>
      <c r="K155" s="1719">
        <v>0</v>
      </c>
      <c r="L155" s="1719">
        <v>0</v>
      </c>
      <c r="M155" s="1719">
        <v>0</v>
      </c>
      <c r="N155" s="1719">
        <v>0</v>
      </c>
      <c r="O155" s="1719"/>
      <c r="P155" s="1719">
        <v>0</v>
      </c>
      <c r="Q155" s="1719">
        <v>0</v>
      </c>
      <c r="R155" s="1720">
        <v>0</v>
      </c>
    </row>
    <row r="156" spans="1:18" s="206" customFormat="1">
      <c r="A156" s="1713"/>
      <c r="B156" s="1714" t="s">
        <v>179</v>
      </c>
      <c r="C156" s="1715" t="s">
        <v>149</v>
      </c>
      <c r="D156" s="1716" t="s">
        <v>150</v>
      </c>
      <c r="E156" s="1715" t="s">
        <v>457</v>
      </c>
      <c r="F156" s="1716" t="s">
        <v>458</v>
      </c>
      <c r="G156" s="1717" t="s">
        <v>82</v>
      </c>
      <c r="H156" s="1718">
        <v>70</v>
      </c>
      <c r="I156" s="1719">
        <f t="shared" si="2"/>
        <v>0</v>
      </c>
      <c r="J156" s="1719">
        <v>0</v>
      </c>
      <c r="K156" s="1719">
        <v>0</v>
      </c>
      <c r="L156" s="1719">
        <v>0</v>
      </c>
      <c r="M156" s="1719">
        <v>0</v>
      </c>
      <c r="N156" s="1719">
        <v>0</v>
      </c>
      <c r="O156" s="1719"/>
      <c r="P156" s="1719">
        <v>0</v>
      </c>
      <c r="Q156" s="1719">
        <v>0</v>
      </c>
      <c r="R156" s="1720">
        <v>0</v>
      </c>
    </row>
    <row r="157" spans="1:18" s="206" customFormat="1">
      <c r="A157" s="1713"/>
      <c r="B157" s="1714" t="s">
        <v>179</v>
      </c>
      <c r="C157" s="1715" t="s">
        <v>149</v>
      </c>
      <c r="D157" s="1716" t="s">
        <v>150</v>
      </c>
      <c r="E157" s="1715" t="s">
        <v>457</v>
      </c>
      <c r="F157" s="1716" t="s">
        <v>458</v>
      </c>
      <c r="G157" s="1717" t="s">
        <v>83</v>
      </c>
      <c r="H157" s="1718">
        <v>70</v>
      </c>
      <c r="I157" s="1719">
        <f t="shared" si="2"/>
        <v>0</v>
      </c>
      <c r="J157" s="1719">
        <v>0</v>
      </c>
      <c r="K157" s="1719">
        <v>0</v>
      </c>
      <c r="L157" s="1719">
        <v>0</v>
      </c>
      <c r="M157" s="1719">
        <v>0</v>
      </c>
      <c r="N157" s="1719">
        <v>0</v>
      </c>
      <c r="O157" s="1719"/>
      <c r="P157" s="1719">
        <v>0</v>
      </c>
      <c r="Q157" s="1719">
        <v>0</v>
      </c>
      <c r="R157" s="1720">
        <v>0</v>
      </c>
    </row>
    <row r="158" spans="1:18" s="206" customFormat="1" ht="24" customHeight="1">
      <c r="A158" s="1713"/>
      <c r="B158" s="1714" t="s">
        <v>179</v>
      </c>
      <c r="C158" s="1715" t="s">
        <v>149</v>
      </c>
      <c r="D158" s="1716" t="s">
        <v>150</v>
      </c>
      <c r="E158" s="1715" t="s">
        <v>459</v>
      </c>
      <c r="F158" s="1716" t="s">
        <v>592</v>
      </c>
      <c r="G158" s="1717" t="s">
        <v>81</v>
      </c>
      <c r="H158" s="1718">
        <v>500</v>
      </c>
      <c r="I158" s="1719">
        <f t="shared" si="2"/>
        <v>5300000</v>
      </c>
      <c r="J158" s="1719">
        <v>0</v>
      </c>
      <c r="K158" s="1719">
        <v>5300000</v>
      </c>
      <c r="L158" s="1719">
        <v>0</v>
      </c>
      <c r="M158" s="1719">
        <v>0</v>
      </c>
      <c r="N158" s="1719">
        <v>0</v>
      </c>
      <c r="O158" s="1719"/>
      <c r="P158" s="1719">
        <v>0</v>
      </c>
      <c r="Q158" s="1719">
        <v>0</v>
      </c>
      <c r="R158" s="1720">
        <v>0</v>
      </c>
    </row>
    <row r="159" spans="1:18" s="206" customFormat="1" ht="24" customHeight="1">
      <c r="A159" s="1713"/>
      <c r="B159" s="1714" t="s">
        <v>179</v>
      </c>
      <c r="C159" s="1715" t="s">
        <v>149</v>
      </c>
      <c r="D159" s="1716" t="s">
        <v>150</v>
      </c>
      <c r="E159" s="1715" t="s">
        <v>459</v>
      </c>
      <c r="F159" s="1716" t="s">
        <v>592</v>
      </c>
      <c r="G159" s="1717" t="s">
        <v>82</v>
      </c>
      <c r="H159" s="1718">
        <v>500</v>
      </c>
      <c r="I159" s="1719">
        <f t="shared" si="2"/>
        <v>5300000</v>
      </c>
      <c r="J159" s="1719">
        <v>0</v>
      </c>
      <c r="K159" s="1719">
        <v>5300000</v>
      </c>
      <c r="L159" s="1719">
        <v>0</v>
      </c>
      <c r="M159" s="1719">
        <v>0</v>
      </c>
      <c r="N159" s="1719">
        <v>0</v>
      </c>
      <c r="O159" s="1719"/>
      <c r="P159" s="1719">
        <v>0</v>
      </c>
      <c r="Q159" s="1719">
        <v>0</v>
      </c>
      <c r="R159" s="1720">
        <v>0</v>
      </c>
    </row>
    <row r="160" spans="1:18" s="206" customFormat="1" ht="24" customHeight="1">
      <c r="A160" s="1713"/>
      <c r="B160" s="1714" t="s">
        <v>179</v>
      </c>
      <c r="C160" s="1715" t="s">
        <v>149</v>
      </c>
      <c r="D160" s="1716" t="s">
        <v>150</v>
      </c>
      <c r="E160" s="1715" t="s">
        <v>459</v>
      </c>
      <c r="F160" s="1716" t="s">
        <v>592</v>
      </c>
      <c r="G160" s="1717" t="s">
        <v>83</v>
      </c>
      <c r="H160" s="1719">
        <v>0</v>
      </c>
      <c r="I160" s="1719">
        <f t="shared" si="2"/>
        <v>0</v>
      </c>
      <c r="J160" s="1719">
        <v>0</v>
      </c>
      <c r="K160" s="1719">
        <v>0</v>
      </c>
      <c r="L160" s="1719">
        <v>0</v>
      </c>
      <c r="M160" s="1719">
        <v>0</v>
      </c>
      <c r="N160" s="1719">
        <v>0</v>
      </c>
      <c r="O160" s="1719"/>
      <c r="P160" s="1719">
        <v>0</v>
      </c>
      <c r="Q160" s="1719">
        <v>0</v>
      </c>
      <c r="R160" s="1720">
        <v>0</v>
      </c>
    </row>
    <row r="161" spans="1:18" s="206" customFormat="1" ht="24" customHeight="1">
      <c r="A161" s="1713"/>
      <c r="B161" s="1714" t="s">
        <v>179</v>
      </c>
      <c r="C161" s="1715" t="s">
        <v>149</v>
      </c>
      <c r="D161" s="1716" t="s">
        <v>150</v>
      </c>
      <c r="E161" s="1715" t="s">
        <v>717</v>
      </c>
      <c r="F161" s="1716" t="s">
        <v>718</v>
      </c>
      <c r="G161" s="1717" t="s">
        <v>81</v>
      </c>
      <c r="H161" s="1718">
        <v>2000</v>
      </c>
      <c r="I161" s="1719">
        <f t="shared" si="2"/>
        <v>20000000</v>
      </c>
      <c r="J161" s="1719">
        <v>0</v>
      </c>
      <c r="K161" s="1719">
        <v>20000000</v>
      </c>
      <c r="L161" s="1719">
        <v>0</v>
      </c>
      <c r="M161" s="1719">
        <v>0</v>
      </c>
      <c r="N161" s="1719">
        <v>0</v>
      </c>
      <c r="O161" s="1719"/>
      <c r="P161" s="1719">
        <v>0</v>
      </c>
      <c r="Q161" s="1719">
        <v>0</v>
      </c>
      <c r="R161" s="1720">
        <v>0</v>
      </c>
    </row>
    <row r="162" spans="1:18" s="206" customFormat="1" ht="24" customHeight="1">
      <c r="A162" s="1713"/>
      <c r="B162" s="1714" t="s">
        <v>179</v>
      </c>
      <c r="C162" s="1715" t="s">
        <v>149</v>
      </c>
      <c r="D162" s="1716" t="s">
        <v>150</v>
      </c>
      <c r="E162" s="1715" t="s">
        <v>717</v>
      </c>
      <c r="F162" s="1716" t="s">
        <v>718</v>
      </c>
      <c r="G162" s="1717" t="s">
        <v>82</v>
      </c>
      <c r="H162" s="1718">
        <v>2000</v>
      </c>
      <c r="I162" s="1719">
        <f t="shared" si="2"/>
        <v>20000000</v>
      </c>
      <c r="J162" s="1719">
        <v>0</v>
      </c>
      <c r="K162" s="1719">
        <v>20000000</v>
      </c>
      <c r="L162" s="1719">
        <v>0</v>
      </c>
      <c r="M162" s="1719">
        <v>0</v>
      </c>
      <c r="N162" s="1719">
        <v>0</v>
      </c>
      <c r="O162" s="1719"/>
      <c r="P162" s="1719">
        <v>0</v>
      </c>
      <c r="Q162" s="1719">
        <v>0</v>
      </c>
      <c r="R162" s="1720">
        <v>0</v>
      </c>
    </row>
    <row r="163" spans="1:18" s="206" customFormat="1" ht="24" customHeight="1">
      <c r="A163" s="1713"/>
      <c r="B163" s="1714" t="s">
        <v>179</v>
      </c>
      <c r="C163" s="1715" t="s">
        <v>149</v>
      </c>
      <c r="D163" s="1716" t="s">
        <v>150</v>
      </c>
      <c r="E163" s="1715" t="s">
        <v>717</v>
      </c>
      <c r="F163" s="1716" t="s">
        <v>718</v>
      </c>
      <c r="G163" s="1717" t="s">
        <v>83</v>
      </c>
      <c r="H163" s="1718">
        <v>0</v>
      </c>
      <c r="I163" s="1719">
        <f t="shared" si="2"/>
        <v>0</v>
      </c>
      <c r="J163" s="1719">
        <v>0</v>
      </c>
      <c r="K163" s="1719">
        <v>0</v>
      </c>
      <c r="L163" s="1719">
        <v>0</v>
      </c>
      <c r="M163" s="1719">
        <v>0</v>
      </c>
      <c r="N163" s="1719">
        <v>0</v>
      </c>
      <c r="O163" s="1719"/>
      <c r="P163" s="1719">
        <v>0</v>
      </c>
      <c r="Q163" s="1719">
        <v>0</v>
      </c>
      <c r="R163" s="1720">
        <v>0</v>
      </c>
    </row>
    <row r="164" spans="1:18" s="206" customFormat="1">
      <c r="A164" s="1713"/>
      <c r="B164" s="1714" t="s">
        <v>179</v>
      </c>
      <c r="C164" s="1715" t="s">
        <v>149</v>
      </c>
      <c r="D164" s="1716" t="s">
        <v>150</v>
      </c>
      <c r="E164" s="1715" t="s">
        <v>471</v>
      </c>
      <c r="F164" s="1716" t="s">
        <v>472</v>
      </c>
      <c r="G164" s="1717" t="s">
        <v>81</v>
      </c>
      <c r="H164" s="1718">
        <v>20</v>
      </c>
      <c r="I164" s="1719">
        <f t="shared" si="2"/>
        <v>7100000</v>
      </c>
      <c r="J164" s="1719">
        <v>0</v>
      </c>
      <c r="K164" s="1718">
        <v>7100000</v>
      </c>
      <c r="L164" s="1719"/>
      <c r="M164" s="1719"/>
      <c r="N164" s="1719"/>
      <c r="O164" s="1719"/>
      <c r="P164" s="1719"/>
      <c r="Q164" s="1719"/>
      <c r="R164" s="1720"/>
    </row>
    <row r="165" spans="1:18" s="206" customFormat="1">
      <c r="A165" s="1713"/>
      <c r="B165" s="1714" t="s">
        <v>179</v>
      </c>
      <c r="C165" s="1715" t="s">
        <v>149</v>
      </c>
      <c r="D165" s="1716" t="s">
        <v>150</v>
      </c>
      <c r="E165" s="1715" t="s">
        <v>471</v>
      </c>
      <c r="F165" s="1716" t="s">
        <v>472</v>
      </c>
      <c r="G165" s="1717" t="s">
        <v>82</v>
      </c>
      <c r="H165" s="1718">
        <v>20</v>
      </c>
      <c r="I165" s="1719">
        <f t="shared" si="2"/>
        <v>7100000</v>
      </c>
      <c r="J165" s="1719">
        <v>0</v>
      </c>
      <c r="K165" s="1719">
        <v>7100000</v>
      </c>
      <c r="L165" s="1719"/>
      <c r="M165" s="1719"/>
      <c r="N165" s="1719"/>
      <c r="O165" s="1719"/>
      <c r="P165" s="1719"/>
      <c r="Q165" s="1719"/>
      <c r="R165" s="1720"/>
    </row>
    <row r="166" spans="1:18" s="206" customFormat="1">
      <c r="A166" s="1713"/>
      <c r="B166" s="1714" t="s">
        <v>179</v>
      </c>
      <c r="C166" s="1715" t="s">
        <v>149</v>
      </c>
      <c r="D166" s="1716" t="s">
        <v>150</v>
      </c>
      <c r="E166" s="1715" t="s">
        <v>471</v>
      </c>
      <c r="F166" s="1716" t="s">
        <v>472</v>
      </c>
      <c r="G166" s="1717" t="s">
        <v>83</v>
      </c>
      <c r="H166" s="1718">
        <v>0</v>
      </c>
      <c r="I166" s="1719">
        <f t="shared" si="2"/>
        <v>0</v>
      </c>
      <c r="J166" s="1719">
        <v>0</v>
      </c>
      <c r="K166" s="1719">
        <v>0</v>
      </c>
      <c r="L166" s="1719"/>
      <c r="M166" s="1719"/>
      <c r="N166" s="1719"/>
      <c r="O166" s="1719"/>
      <c r="P166" s="1719"/>
      <c r="Q166" s="1719"/>
      <c r="R166" s="1720"/>
    </row>
    <row r="167" spans="1:18" s="206" customFormat="1">
      <c r="A167" s="1713"/>
      <c r="B167" s="1714" t="s">
        <v>179</v>
      </c>
      <c r="C167" s="1715" t="s">
        <v>149</v>
      </c>
      <c r="D167" s="1716" t="s">
        <v>150</v>
      </c>
      <c r="E167" s="1715" t="s">
        <v>421</v>
      </c>
      <c r="F167" s="1716" t="s">
        <v>724</v>
      </c>
      <c r="G167" s="1717" t="s">
        <v>81</v>
      </c>
      <c r="H167" s="1718">
        <v>750</v>
      </c>
      <c r="I167" s="1719">
        <f t="shared" si="2"/>
        <v>10300000</v>
      </c>
      <c r="J167" s="1719">
        <v>0</v>
      </c>
      <c r="K167" s="1719">
        <v>10300000</v>
      </c>
      <c r="L167" s="1719"/>
      <c r="M167" s="1719"/>
      <c r="N167" s="1719"/>
      <c r="O167" s="1719"/>
      <c r="P167" s="1719"/>
      <c r="Q167" s="1719"/>
      <c r="R167" s="1720"/>
    </row>
    <row r="168" spans="1:18" s="206" customFormat="1">
      <c r="A168" s="1713"/>
      <c r="B168" s="1714" t="s">
        <v>179</v>
      </c>
      <c r="C168" s="1715" t="s">
        <v>149</v>
      </c>
      <c r="D168" s="1716" t="s">
        <v>150</v>
      </c>
      <c r="E168" s="1715" t="s">
        <v>421</v>
      </c>
      <c r="F168" s="1716" t="s">
        <v>724</v>
      </c>
      <c r="G168" s="1717" t="s">
        <v>82</v>
      </c>
      <c r="H168" s="1718">
        <v>750</v>
      </c>
      <c r="I168" s="1719">
        <f t="shared" si="2"/>
        <v>10300000</v>
      </c>
      <c r="J168" s="1719">
        <v>0</v>
      </c>
      <c r="K168" s="1719">
        <v>10300000</v>
      </c>
      <c r="L168" s="1719"/>
      <c r="M168" s="1719"/>
      <c r="N168" s="1719"/>
      <c r="O168" s="1719"/>
      <c r="P168" s="1719"/>
      <c r="Q168" s="1719"/>
      <c r="R168" s="1720"/>
    </row>
    <row r="169" spans="1:18" s="206" customFormat="1">
      <c r="A169" s="1713"/>
      <c r="B169" s="1714" t="s">
        <v>179</v>
      </c>
      <c r="C169" s="1715" t="s">
        <v>149</v>
      </c>
      <c r="D169" s="1716" t="s">
        <v>150</v>
      </c>
      <c r="E169" s="1715" t="s">
        <v>421</v>
      </c>
      <c r="F169" s="1716" t="s">
        <v>724</v>
      </c>
      <c r="G169" s="1717" t="s">
        <v>83</v>
      </c>
      <c r="H169" s="1718">
        <v>350</v>
      </c>
      <c r="I169" s="1719">
        <f t="shared" si="2"/>
        <v>4922682</v>
      </c>
      <c r="J169" s="1719">
        <v>0</v>
      </c>
      <c r="K169" s="1719">
        <v>4922682</v>
      </c>
      <c r="L169" s="1719"/>
      <c r="M169" s="1719"/>
      <c r="N169" s="1719"/>
      <c r="O169" s="1719"/>
      <c r="P169" s="1719"/>
      <c r="Q169" s="1719"/>
      <c r="R169" s="1720"/>
    </row>
    <row r="170" spans="1:18" s="206" customFormat="1">
      <c r="A170" s="1713"/>
      <c r="B170" s="1714" t="s">
        <v>179</v>
      </c>
      <c r="C170" s="1715" t="s">
        <v>149</v>
      </c>
      <c r="D170" s="1716" t="s">
        <v>150</v>
      </c>
      <c r="E170" s="1715" t="s">
        <v>469</v>
      </c>
      <c r="F170" s="1716" t="s">
        <v>725</v>
      </c>
      <c r="G170" s="1717" t="s">
        <v>81</v>
      </c>
      <c r="H170" s="1718">
        <v>120</v>
      </c>
      <c r="I170" s="1719">
        <f t="shared" si="2"/>
        <v>30000000</v>
      </c>
      <c r="J170" s="1719">
        <v>0</v>
      </c>
      <c r="K170" s="1719">
        <v>30000000</v>
      </c>
      <c r="L170" s="1719"/>
      <c r="M170" s="1719"/>
      <c r="N170" s="1719"/>
      <c r="O170" s="1719"/>
      <c r="P170" s="1719"/>
      <c r="Q170" s="1719"/>
      <c r="R170" s="1720"/>
    </row>
    <row r="171" spans="1:18" s="206" customFormat="1">
      <c r="A171" s="1713"/>
      <c r="B171" s="1714" t="s">
        <v>179</v>
      </c>
      <c r="C171" s="1715" t="s">
        <v>149</v>
      </c>
      <c r="D171" s="1716" t="s">
        <v>150</v>
      </c>
      <c r="E171" s="1715" t="s">
        <v>469</v>
      </c>
      <c r="F171" s="1716" t="s">
        <v>725</v>
      </c>
      <c r="G171" s="1717" t="s">
        <v>82</v>
      </c>
      <c r="H171" s="1718">
        <v>120</v>
      </c>
      <c r="I171" s="1719">
        <f t="shared" si="2"/>
        <v>30000000</v>
      </c>
      <c r="J171" s="1719">
        <v>0</v>
      </c>
      <c r="K171" s="1719">
        <v>30000000</v>
      </c>
      <c r="L171" s="1719"/>
      <c r="M171" s="1719"/>
      <c r="N171" s="1719"/>
      <c r="O171" s="1719"/>
      <c r="P171" s="1719"/>
      <c r="Q171" s="1719"/>
      <c r="R171" s="1720"/>
    </row>
    <row r="172" spans="1:18" s="206" customFormat="1">
      <c r="A172" s="1713"/>
      <c r="B172" s="1714" t="s">
        <v>179</v>
      </c>
      <c r="C172" s="1715" t="s">
        <v>149</v>
      </c>
      <c r="D172" s="1716" t="s">
        <v>150</v>
      </c>
      <c r="E172" s="1715" t="s">
        <v>469</v>
      </c>
      <c r="F172" s="1716" t="s">
        <v>725</v>
      </c>
      <c r="G172" s="1717" t="s">
        <v>83</v>
      </c>
      <c r="H172" s="1718">
        <v>0</v>
      </c>
      <c r="I172" s="1719">
        <f t="shared" si="2"/>
        <v>0</v>
      </c>
      <c r="J172" s="1719"/>
      <c r="K172" s="1719">
        <v>0</v>
      </c>
      <c r="L172" s="1719"/>
      <c r="M172" s="1719"/>
      <c r="N172" s="1719"/>
      <c r="O172" s="1719"/>
      <c r="P172" s="1719"/>
      <c r="Q172" s="1719"/>
      <c r="R172" s="1720"/>
    </row>
    <row r="173" spans="1:18" s="206" customFormat="1">
      <c r="A173" s="1713"/>
      <c r="B173" s="1714" t="s">
        <v>179</v>
      </c>
      <c r="C173" s="1715" t="s">
        <v>149</v>
      </c>
      <c r="D173" s="1716" t="s">
        <v>150</v>
      </c>
      <c r="E173" s="1715" t="s">
        <v>469</v>
      </c>
      <c r="F173" s="1716" t="s">
        <v>473</v>
      </c>
      <c r="G173" s="1717" t="s">
        <v>81</v>
      </c>
      <c r="H173" s="1718">
        <v>0</v>
      </c>
      <c r="I173" s="1719">
        <f t="shared" si="2"/>
        <v>0</v>
      </c>
      <c r="J173" s="1719"/>
      <c r="K173" s="1719">
        <v>0</v>
      </c>
      <c r="L173" s="1719">
        <v>0</v>
      </c>
      <c r="M173" s="1719">
        <v>0</v>
      </c>
      <c r="N173" s="1719">
        <v>0</v>
      </c>
      <c r="O173" s="1719"/>
      <c r="P173" s="1719">
        <v>0</v>
      </c>
      <c r="Q173" s="1719">
        <v>0</v>
      </c>
      <c r="R173" s="1720">
        <v>0</v>
      </c>
    </row>
    <row r="174" spans="1:18" s="206" customFormat="1">
      <c r="A174" s="1713"/>
      <c r="B174" s="1714" t="s">
        <v>179</v>
      </c>
      <c r="C174" s="1715" t="s">
        <v>149</v>
      </c>
      <c r="D174" s="1716" t="s">
        <v>150</v>
      </c>
      <c r="E174" s="1715" t="s">
        <v>469</v>
      </c>
      <c r="F174" s="1716" t="s">
        <v>473</v>
      </c>
      <c r="G174" s="1717" t="s">
        <v>82</v>
      </c>
      <c r="H174" s="1718">
        <v>0</v>
      </c>
      <c r="I174" s="1719">
        <f t="shared" si="2"/>
        <v>0</v>
      </c>
      <c r="J174" s="1719"/>
      <c r="K174" s="1719">
        <v>0</v>
      </c>
      <c r="L174" s="1719">
        <v>0</v>
      </c>
      <c r="M174" s="1719">
        <v>0</v>
      </c>
      <c r="N174" s="1719">
        <v>0</v>
      </c>
      <c r="O174" s="1719"/>
      <c r="P174" s="1719">
        <v>0</v>
      </c>
      <c r="Q174" s="1719">
        <v>0</v>
      </c>
      <c r="R174" s="1720">
        <v>0</v>
      </c>
    </row>
    <row r="175" spans="1:18" s="206" customFormat="1">
      <c r="A175" s="1713"/>
      <c r="B175" s="1714" t="s">
        <v>179</v>
      </c>
      <c r="C175" s="1715" t="s">
        <v>149</v>
      </c>
      <c r="D175" s="1716" t="s">
        <v>150</v>
      </c>
      <c r="E175" s="1715" t="s">
        <v>469</v>
      </c>
      <c r="F175" s="1716" t="s">
        <v>473</v>
      </c>
      <c r="G175" s="1717" t="s">
        <v>83</v>
      </c>
      <c r="H175" s="1718">
        <v>0</v>
      </c>
      <c r="I175" s="1719">
        <f t="shared" si="2"/>
        <v>0</v>
      </c>
      <c r="J175" s="1719"/>
      <c r="K175" s="1719">
        <v>0</v>
      </c>
      <c r="L175" s="1719">
        <v>0</v>
      </c>
      <c r="M175" s="1719">
        <v>0</v>
      </c>
      <c r="N175" s="1719">
        <v>0</v>
      </c>
      <c r="O175" s="1719"/>
      <c r="P175" s="1719">
        <v>0</v>
      </c>
      <c r="Q175" s="1719">
        <v>0</v>
      </c>
      <c r="R175" s="1725">
        <v>0</v>
      </c>
    </row>
    <row r="176" spans="1:18" s="206" customFormat="1">
      <c r="A176" s="1713"/>
      <c r="B176" s="1714" t="s">
        <v>179</v>
      </c>
      <c r="C176" s="1715" t="s">
        <v>149</v>
      </c>
      <c r="D176" s="1716" t="s">
        <v>150</v>
      </c>
      <c r="E176" s="1715" t="s">
        <v>219</v>
      </c>
      <c r="F176" s="1716" t="s">
        <v>220</v>
      </c>
      <c r="G176" s="1717" t="s">
        <v>81</v>
      </c>
      <c r="H176" s="1723">
        <v>2</v>
      </c>
      <c r="I176" s="1719">
        <f t="shared" ref="I176:I189" si="3">K176</f>
        <v>4227348</v>
      </c>
      <c r="J176" s="1719"/>
      <c r="K176" s="1719">
        <v>4227348</v>
      </c>
      <c r="L176" s="1719"/>
      <c r="M176" s="1719"/>
      <c r="N176" s="1719"/>
      <c r="O176" s="1719"/>
      <c r="P176" s="1719"/>
      <c r="Q176" s="1726"/>
      <c r="R176" s="1727"/>
    </row>
    <row r="177" spans="1:18" s="206" customFormat="1">
      <c r="A177" s="1713"/>
      <c r="B177" s="1714" t="s">
        <v>179</v>
      </c>
      <c r="C177" s="1715" t="s">
        <v>149</v>
      </c>
      <c r="D177" s="1716" t="s">
        <v>150</v>
      </c>
      <c r="E177" s="1715" t="s">
        <v>219</v>
      </c>
      <c r="F177" s="1716" t="s">
        <v>220</v>
      </c>
      <c r="G177" s="1717" t="s">
        <v>82</v>
      </c>
      <c r="H177" s="1723">
        <v>2</v>
      </c>
      <c r="I177" s="1719">
        <f t="shared" si="3"/>
        <v>4227348</v>
      </c>
      <c r="J177" s="1719"/>
      <c r="K177" s="1719">
        <v>4227348</v>
      </c>
      <c r="L177" s="1719"/>
      <c r="M177" s="1719"/>
      <c r="N177" s="1719"/>
      <c r="O177" s="1719"/>
      <c r="P177" s="1719"/>
      <c r="Q177" s="1726"/>
      <c r="R177" s="1727"/>
    </row>
    <row r="178" spans="1:18" s="206" customFormat="1">
      <c r="A178" s="1713"/>
      <c r="B178" s="1714" t="s">
        <v>179</v>
      </c>
      <c r="C178" s="1715" t="s">
        <v>149</v>
      </c>
      <c r="D178" s="1716" t="s">
        <v>150</v>
      </c>
      <c r="E178" s="1715" t="s">
        <v>219</v>
      </c>
      <c r="F178" s="1716" t="s">
        <v>220</v>
      </c>
      <c r="G178" s="1717" t="s">
        <v>83</v>
      </c>
      <c r="H178" s="1728">
        <v>0</v>
      </c>
      <c r="I178" s="1719">
        <f t="shared" si="3"/>
        <v>0</v>
      </c>
      <c r="J178" s="1719"/>
      <c r="K178" s="1719">
        <v>0</v>
      </c>
      <c r="L178" s="1719"/>
      <c r="M178" s="1719"/>
      <c r="N178" s="1719"/>
      <c r="O178" s="1719"/>
      <c r="P178" s="1719"/>
      <c r="Q178" s="1726"/>
      <c r="R178" s="1727"/>
    </row>
    <row r="179" spans="1:18" s="206" customFormat="1">
      <c r="A179" s="1713"/>
      <c r="B179" s="1714" t="s">
        <v>179</v>
      </c>
      <c r="C179" s="1715" t="s">
        <v>149</v>
      </c>
      <c r="D179" s="1716" t="s">
        <v>150</v>
      </c>
      <c r="E179" s="1715" t="s">
        <v>453</v>
      </c>
      <c r="F179" s="1716" t="s">
        <v>597</v>
      </c>
      <c r="G179" s="1717" t="s">
        <v>81</v>
      </c>
      <c r="H179" s="1728"/>
      <c r="I179" s="1719">
        <f t="shared" si="3"/>
        <v>0</v>
      </c>
      <c r="J179" s="1719"/>
      <c r="K179" s="1719">
        <v>0</v>
      </c>
      <c r="L179" s="1719"/>
      <c r="M179" s="1719"/>
      <c r="N179" s="1719"/>
      <c r="O179" s="1719"/>
      <c r="P179" s="1719"/>
      <c r="Q179" s="1726"/>
      <c r="R179" s="1727"/>
    </row>
    <row r="180" spans="1:18" s="206" customFormat="1">
      <c r="A180" s="1713"/>
      <c r="B180" s="1714" t="s">
        <v>179</v>
      </c>
      <c r="C180" s="1715" t="s">
        <v>149</v>
      </c>
      <c r="D180" s="1716" t="s">
        <v>150</v>
      </c>
      <c r="E180" s="1715" t="s">
        <v>453</v>
      </c>
      <c r="F180" s="1716" t="s">
        <v>597</v>
      </c>
      <c r="G180" s="1717" t="s">
        <v>82</v>
      </c>
      <c r="H180" s="1723">
        <v>0</v>
      </c>
      <c r="I180" s="1719">
        <f t="shared" si="3"/>
        <v>0</v>
      </c>
      <c r="J180" s="1719">
        <v>0</v>
      </c>
      <c r="K180" s="1719">
        <v>0</v>
      </c>
      <c r="L180" s="1719"/>
      <c r="M180" s="1719"/>
      <c r="N180" s="1719"/>
      <c r="O180" s="1719"/>
      <c r="P180" s="1719"/>
      <c r="Q180" s="1726"/>
      <c r="R180" s="1727"/>
    </row>
    <row r="181" spans="1:18" s="206" customFormat="1">
      <c r="A181" s="1713"/>
      <c r="B181" s="1714" t="s">
        <v>179</v>
      </c>
      <c r="C181" s="1715" t="s">
        <v>149</v>
      </c>
      <c r="D181" s="1716" t="s">
        <v>150</v>
      </c>
      <c r="E181" s="1715" t="s">
        <v>453</v>
      </c>
      <c r="F181" s="1716" t="s">
        <v>597</v>
      </c>
      <c r="G181" s="1717" t="s">
        <v>83</v>
      </c>
      <c r="H181" s="1723">
        <v>0</v>
      </c>
      <c r="I181" s="1719">
        <f t="shared" si="3"/>
        <v>0</v>
      </c>
      <c r="J181" s="1719">
        <v>0</v>
      </c>
      <c r="K181" s="1719">
        <v>0</v>
      </c>
      <c r="L181" s="1719"/>
      <c r="M181" s="1719"/>
      <c r="N181" s="1719"/>
      <c r="O181" s="1719"/>
      <c r="P181" s="1719"/>
      <c r="Q181" s="1726"/>
      <c r="R181" s="1727"/>
    </row>
    <row r="182" spans="1:18" s="206" customFormat="1">
      <c r="A182" s="1713"/>
      <c r="B182" s="1714" t="s">
        <v>179</v>
      </c>
      <c r="C182" s="1715" t="s">
        <v>149</v>
      </c>
      <c r="D182" s="1716" t="s">
        <v>150</v>
      </c>
      <c r="E182" s="1715" t="s">
        <v>719</v>
      </c>
      <c r="F182" s="1716" t="s">
        <v>723</v>
      </c>
      <c r="G182" s="1717" t="s">
        <v>81</v>
      </c>
      <c r="H182" s="1723">
        <v>30</v>
      </c>
      <c r="I182" s="1719">
        <f t="shared" si="3"/>
        <v>4900000</v>
      </c>
      <c r="J182" s="1719">
        <v>0</v>
      </c>
      <c r="K182" s="1719">
        <v>4900000</v>
      </c>
      <c r="L182" s="1719"/>
      <c r="M182" s="1719"/>
      <c r="N182" s="1719"/>
      <c r="O182" s="1719"/>
      <c r="P182" s="1719"/>
      <c r="Q182" s="1726"/>
      <c r="R182" s="1727"/>
    </row>
    <row r="183" spans="1:18" s="206" customFormat="1">
      <c r="A183" s="1713"/>
      <c r="B183" s="1714" t="s">
        <v>179</v>
      </c>
      <c r="C183" s="1715" t="s">
        <v>149</v>
      </c>
      <c r="D183" s="1716" t="s">
        <v>150</v>
      </c>
      <c r="E183" s="1715" t="s">
        <v>719</v>
      </c>
      <c r="F183" s="1716" t="s">
        <v>723</v>
      </c>
      <c r="G183" s="1717" t="s">
        <v>82</v>
      </c>
      <c r="H183" s="1723">
        <v>30</v>
      </c>
      <c r="I183" s="1719">
        <f t="shared" si="3"/>
        <v>4900000</v>
      </c>
      <c r="J183" s="1719"/>
      <c r="K183" s="1719">
        <v>4900000</v>
      </c>
      <c r="L183" s="1719"/>
      <c r="M183" s="1719"/>
      <c r="N183" s="1719"/>
      <c r="O183" s="1719"/>
      <c r="P183" s="1719"/>
      <c r="Q183" s="1726"/>
      <c r="R183" s="1727"/>
    </row>
    <row r="184" spans="1:18" s="206" customFormat="1">
      <c r="A184" s="1713"/>
      <c r="B184" s="1714" t="s">
        <v>179</v>
      </c>
      <c r="C184" s="1715" t="s">
        <v>149</v>
      </c>
      <c r="D184" s="1716" t="s">
        <v>150</v>
      </c>
      <c r="E184" s="1715" t="s">
        <v>719</v>
      </c>
      <c r="F184" s="1716" t="s">
        <v>723</v>
      </c>
      <c r="G184" s="1717" t="s">
        <v>83</v>
      </c>
      <c r="H184" s="1728"/>
      <c r="I184" s="1719">
        <f t="shared" si="3"/>
        <v>0</v>
      </c>
      <c r="J184" s="1719"/>
      <c r="K184" s="1719">
        <v>0</v>
      </c>
      <c r="L184" s="1719"/>
      <c r="M184" s="1719"/>
      <c r="N184" s="1719"/>
      <c r="O184" s="1719"/>
      <c r="P184" s="1719"/>
      <c r="Q184" s="1726"/>
      <c r="R184" s="1727"/>
    </row>
    <row r="185" spans="1:18" s="206" customFormat="1">
      <c r="A185" s="1713"/>
      <c r="B185" s="1714" t="s">
        <v>179</v>
      </c>
      <c r="C185" s="1715" t="s">
        <v>149</v>
      </c>
      <c r="D185" s="1716" t="s">
        <v>150</v>
      </c>
      <c r="E185" s="1715" t="s">
        <v>719</v>
      </c>
      <c r="F185" s="1716" t="s">
        <v>726</v>
      </c>
      <c r="G185" s="1717" t="s">
        <v>81</v>
      </c>
      <c r="H185" s="1728"/>
      <c r="I185" s="1719">
        <v>229600000</v>
      </c>
      <c r="J185" s="1719"/>
      <c r="K185" s="1719">
        <v>229600000</v>
      </c>
      <c r="L185" s="1719"/>
      <c r="M185" s="1719"/>
      <c r="N185" s="1719"/>
      <c r="O185" s="1719"/>
      <c r="P185" s="1719"/>
      <c r="Q185" s="1726"/>
      <c r="R185" s="1727"/>
    </row>
    <row r="186" spans="1:18" s="206" customFormat="1">
      <c r="A186" s="1713"/>
      <c r="B186" s="1714" t="s">
        <v>179</v>
      </c>
      <c r="C186" s="1715" t="s">
        <v>149</v>
      </c>
      <c r="D186" s="1716" t="s">
        <v>150</v>
      </c>
      <c r="E186" s="1715" t="s">
        <v>719</v>
      </c>
      <c r="F186" s="1716" t="s">
        <v>726</v>
      </c>
      <c r="G186" s="1717" t="s">
        <v>82</v>
      </c>
      <c r="H186" s="1728"/>
      <c r="I186" s="1719">
        <f t="shared" si="3"/>
        <v>229600000</v>
      </c>
      <c r="J186" s="1719">
        <v>0</v>
      </c>
      <c r="K186" s="1719">
        <v>229600000</v>
      </c>
      <c r="L186" s="1719"/>
      <c r="M186" s="1719"/>
      <c r="N186" s="1719"/>
      <c r="O186" s="1719"/>
      <c r="P186" s="1719"/>
      <c r="Q186" s="1726"/>
      <c r="R186" s="1727"/>
    </row>
    <row r="187" spans="1:18" s="206" customFormat="1">
      <c r="A187" s="1713"/>
      <c r="B187" s="1714" t="s">
        <v>179</v>
      </c>
      <c r="C187" s="1715" t="s">
        <v>149</v>
      </c>
      <c r="D187" s="1716" t="s">
        <v>150</v>
      </c>
      <c r="E187" s="1715" t="s">
        <v>719</v>
      </c>
      <c r="F187" s="1716" t="s">
        <v>726</v>
      </c>
      <c r="G187" s="1717" t="s">
        <v>83</v>
      </c>
      <c r="H187" s="1728"/>
      <c r="I187" s="1719">
        <f t="shared" si="3"/>
        <v>0</v>
      </c>
      <c r="J187" s="1719"/>
      <c r="K187" s="1719">
        <v>0</v>
      </c>
      <c r="L187" s="1719"/>
      <c r="M187" s="1719"/>
      <c r="N187" s="1719"/>
      <c r="O187" s="1719"/>
      <c r="P187" s="1719"/>
      <c r="Q187" s="1726"/>
      <c r="R187" s="1727"/>
    </row>
    <row r="188" spans="1:18" s="206" customFormat="1" ht="22.5">
      <c r="A188" s="1713"/>
      <c r="B188" s="1714" t="s">
        <v>179</v>
      </c>
      <c r="C188" s="1715" t="s">
        <v>149</v>
      </c>
      <c r="D188" s="1716" t="s">
        <v>150</v>
      </c>
      <c r="E188" s="1715" t="s">
        <v>461</v>
      </c>
      <c r="F188" s="1716" t="s">
        <v>462</v>
      </c>
      <c r="G188" s="1717" t="s">
        <v>81</v>
      </c>
      <c r="H188" s="1728">
        <v>2</v>
      </c>
      <c r="I188" s="1719">
        <f t="shared" si="3"/>
        <v>59000000</v>
      </c>
      <c r="J188" s="1719"/>
      <c r="K188" s="1719">
        <v>59000000</v>
      </c>
      <c r="L188" s="1719"/>
      <c r="M188" s="1719"/>
      <c r="N188" s="1719"/>
      <c r="O188" s="1719"/>
      <c r="P188" s="1719"/>
      <c r="Q188" s="1726"/>
      <c r="R188" s="1727"/>
    </row>
    <row r="189" spans="1:18" s="206" customFormat="1" ht="22.5">
      <c r="A189" s="1713"/>
      <c r="B189" s="1714" t="s">
        <v>179</v>
      </c>
      <c r="C189" s="1715" t="s">
        <v>149</v>
      </c>
      <c r="D189" s="1716" t="s">
        <v>150</v>
      </c>
      <c r="E189" s="1715" t="s">
        <v>461</v>
      </c>
      <c r="F189" s="1716" t="s">
        <v>462</v>
      </c>
      <c r="G189" s="1717" t="s">
        <v>82</v>
      </c>
      <c r="H189" s="1728">
        <v>2</v>
      </c>
      <c r="I189" s="1719">
        <f t="shared" si="3"/>
        <v>59000000</v>
      </c>
      <c r="J189" s="1719"/>
      <c r="K189" s="1719">
        <v>59000000</v>
      </c>
      <c r="L189" s="1719"/>
      <c r="M189" s="1719"/>
      <c r="N189" s="1719"/>
      <c r="O189" s="1719"/>
      <c r="P189" s="1719"/>
      <c r="Q189" s="1726"/>
      <c r="R189" s="1727"/>
    </row>
    <row r="190" spans="1:18" s="206" customFormat="1" ht="22.5">
      <c r="A190" s="1713"/>
      <c r="B190" s="1714" t="s">
        <v>179</v>
      </c>
      <c r="C190" s="1715" t="s">
        <v>149</v>
      </c>
      <c r="D190" s="1716" t="s">
        <v>150</v>
      </c>
      <c r="E190" s="1715" t="s">
        <v>461</v>
      </c>
      <c r="F190" s="1716" t="s">
        <v>462</v>
      </c>
      <c r="G190" s="1717" t="s">
        <v>83</v>
      </c>
      <c r="H190" s="1728">
        <v>0</v>
      </c>
      <c r="I190" s="1719">
        <v>0</v>
      </c>
      <c r="J190" s="1719"/>
      <c r="K190" s="1719">
        <v>0</v>
      </c>
      <c r="L190" s="1719"/>
      <c r="M190" s="1719"/>
      <c r="N190" s="1719"/>
      <c r="O190" s="1719"/>
      <c r="P190" s="1719"/>
      <c r="Q190" s="1726"/>
      <c r="R190" s="1727"/>
    </row>
    <row r="191" spans="1:18" s="206" customFormat="1">
      <c r="A191" s="1713"/>
      <c r="B191" s="1714" t="s">
        <v>179</v>
      </c>
      <c r="C191" s="1715" t="s">
        <v>149</v>
      </c>
      <c r="D191" s="1716" t="s">
        <v>150</v>
      </c>
      <c r="E191" s="1715"/>
      <c r="F191" s="1716" t="s">
        <v>714</v>
      </c>
      <c r="G191" s="1717" t="s">
        <v>81</v>
      </c>
      <c r="H191" s="1718"/>
      <c r="I191" s="1719">
        <f>I8+I11+I14+I17+I20+I23+I26+I29+I32+I35+I38+I41+I44+I47+I50+I59+I68+I80+I92+I101+I104+I110+I113+I122+I137+I149+I158+I161+I164+I167+I170+I176+I182+I185+I188</f>
        <v>11156536000</v>
      </c>
      <c r="J191" s="1719">
        <f t="shared" ref="J191:R193" si="4">J8+J11+J14+J17+J20+J23+J26+J29+J32+J35+J38+J41+J44+J47+J50+J59+J68+J80+J92+J101+J104+J110+J113+J122+J137+J149+J158+J161+J164+J167+J170+J176+J182+J185+J188</f>
        <v>0</v>
      </c>
      <c r="K191" s="1719">
        <f t="shared" si="4"/>
        <v>2265500000</v>
      </c>
      <c r="L191" s="1719">
        <f t="shared" si="4"/>
        <v>3941500000</v>
      </c>
      <c r="M191" s="1719">
        <f t="shared" si="4"/>
        <v>641300000</v>
      </c>
      <c r="N191" s="1719">
        <f t="shared" si="4"/>
        <v>3944551000</v>
      </c>
      <c r="O191" s="1719">
        <f t="shared" si="4"/>
        <v>0</v>
      </c>
      <c r="P191" s="1719">
        <f t="shared" si="4"/>
        <v>0</v>
      </c>
      <c r="Q191" s="1719">
        <f t="shared" si="4"/>
        <v>0</v>
      </c>
      <c r="R191" s="1719">
        <f t="shared" si="4"/>
        <v>363685000</v>
      </c>
    </row>
    <row r="192" spans="1:18" s="206" customFormat="1">
      <c r="A192" s="1713"/>
      <c r="B192" s="1714" t="s">
        <v>179</v>
      </c>
      <c r="C192" s="1715" t="s">
        <v>149</v>
      </c>
      <c r="D192" s="1716" t="s">
        <v>150</v>
      </c>
      <c r="E192" s="1715"/>
      <c r="F192" s="1716" t="s">
        <v>714</v>
      </c>
      <c r="G192" s="1717" t="s">
        <v>82</v>
      </c>
      <c r="H192" s="1718"/>
      <c r="I192" s="1719">
        <f>I9+I12+I15+I18+I21+I24+I27+I30+I33+I36+I39+I42+I45+I48+I51+I60+I69+I81+I93+I102+I105+I111+I114+I123+I138+I150+I159+I162+I165+I168+I171+I177+I183+I186+I189</f>
        <v>11156536000</v>
      </c>
      <c r="J192" s="1719">
        <f t="shared" si="4"/>
        <v>0</v>
      </c>
      <c r="K192" s="1719">
        <f t="shared" si="4"/>
        <v>2265500000</v>
      </c>
      <c r="L192" s="1719">
        <f t="shared" si="4"/>
        <v>3941500000</v>
      </c>
      <c r="M192" s="1719">
        <f t="shared" si="4"/>
        <v>641300000</v>
      </c>
      <c r="N192" s="1719">
        <f t="shared" si="4"/>
        <v>3944551000</v>
      </c>
      <c r="O192" s="1719">
        <f t="shared" si="4"/>
        <v>0</v>
      </c>
      <c r="P192" s="1719">
        <f t="shared" si="4"/>
        <v>0</v>
      </c>
      <c r="Q192" s="1719">
        <f t="shared" si="4"/>
        <v>0</v>
      </c>
      <c r="R192" s="1719">
        <f t="shared" si="4"/>
        <v>363685000</v>
      </c>
    </row>
    <row r="193" spans="1:18" s="206" customFormat="1">
      <c r="A193" s="1713"/>
      <c r="B193" s="1714" t="s">
        <v>179</v>
      </c>
      <c r="C193" s="1715" t="s">
        <v>149</v>
      </c>
      <c r="D193" s="1716" t="s">
        <v>150</v>
      </c>
      <c r="E193" s="1715"/>
      <c r="F193" s="1716" t="s">
        <v>714</v>
      </c>
      <c r="G193" s="1717" t="s">
        <v>83</v>
      </c>
      <c r="H193" s="1718"/>
      <c r="I193" s="1719">
        <f>I10+I13+I16+I19+I22+I25+I28+I31+I34+I37+I40+I43+I46+I49+I52+I61+I70+I82+I94+I103+I106+I112+I115+I124+I139+I151+I160+I163+I166+I169+I172+I178+I184+I187+I190</f>
        <v>2503421559.2799997</v>
      </c>
      <c r="J193" s="1719">
        <f t="shared" si="4"/>
        <v>0</v>
      </c>
      <c r="K193" s="1719">
        <f t="shared" si="4"/>
        <v>37980094</v>
      </c>
      <c r="L193" s="1719">
        <f t="shared" si="4"/>
        <v>1339938913</v>
      </c>
      <c r="M193" s="1719">
        <f t="shared" si="4"/>
        <v>226770233</v>
      </c>
      <c r="N193" s="1719">
        <f t="shared" si="4"/>
        <v>810831620.27999997</v>
      </c>
      <c r="O193" s="1719">
        <f t="shared" si="4"/>
        <v>0</v>
      </c>
      <c r="P193" s="1719">
        <f t="shared" si="4"/>
        <v>0</v>
      </c>
      <c r="Q193" s="1719">
        <f t="shared" si="4"/>
        <v>0</v>
      </c>
      <c r="R193" s="1719">
        <f t="shared" si="4"/>
        <v>87900699</v>
      </c>
    </row>
    <row r="194" spans="1:18" s="206" customFormat="1">
      <c r="A194" s="1713"/>
      <c r="B194" s="1714" t="s">
        <v>179</v>
      </c>
      <c r="C194" s="1715" t="s">
        <v>149</v>
      </c>
      <c r="D194" s="1716" t="s">
        <v>150</v>
      </c>
      <c r="E194" s="1715" t="s">
        <v>253</v>
      </c>
      <c r="F194" s="1716" t="s">
        <v>254</v>
      </c>
      <c r="G194" s="1717" t="s">
        <v>81</v>
      </c>
      <c r="H194" s="1718"/>
      <c r="I194" s="1719">
        <v>0</v>
      </c>
      <c r="J194" s="1719">
        <v>0</v>
      </c>
      <c r="K194" s="1719">
        <v>0</v>
      </c>
      <c r="L194" s="1719">
        <v>0</v>
      </c>
      <c r="M194" s="1719">
        <v>0</v>
      </c>
      <c r="N194" s="1719">
        <v>0</v>
      </c>
      <c r="O194" s="1719"/>
      <c r="P194" s="1719">
        <v>0</v>
      </c>
      <c r="Q194" s="1719">
        <v>0</v>
      </c>
      <c r="R194" s="1729">
        <v>0</v>
      </c>
    </row>
    <row r="195" spans="1:18" s="206" customFormat="1">
      <c r="A195" s="1713"/>
      <c r="B195" s="1730" t="s">
        <v>179</v>
      </c>
      <c r="C195" s="1731" t="s">
        <v>149</v>
      </c>
      <c r="D195" s="1732" t="s">
        <v>150</v>
      </c>
      <c r="E195" s="1731" t="s">
        <v>253</v>
      </c>
      <c r="F195" s="1732" t="s">
        <v>254</v>
      </c>
      <c r="G195" s="1733" t="s">
        <v>82</v>
      </c>
      <c r="H195" s="1734"/>
      <c r="I195" s="1735">
        <v>0</v>
      </c>
      <c r="J195" s="1719">
        <v>0</v>
      </c>
      <c r="K195" s="1719">
        <v>0</v>
      </c>
      <c r="L195" s="1719">
        <v>0</v>
      </c>
      <c r="M195" s="1719">
        <v>0</v>
      </c>
      <c r="N195" s="1719">
        <v>0</v>
      </c>
      <c r="O195" s="1719"/>
      <c r="P195" s="1719">
        <v>0</v>
      </c>
      <c r="Q195" s="1719">
        <v>0</v>
      </c>
      <c r="R195" s="1729">
        <v>0</v>
      </c>
    </row>
    <row r="196" spans="1:18" s="206" customFormat="1">
      <c r="A196" s="1713"/>
      <c r="B196" s="1730" t="s">
        <v>179</v>
      </c>
      <c r="C196" s="1731" t="s">
        <v>149</v>
      </c>
      <c r="D196" s="1732" t="s">
        <v>150</v>
      </c>
      <c r="E196" s="1731" t="s">
        <v>253</v>
      </c>
      <c r="F196" s="1732" t="s">
        <v>254</v>
      </c>
      <c r="G196" s="1733" t="s">
        <v>83</v>
      </c>
      <c r="H196" s="1734"/>
      <c r="I196" s="1735">
        <v>0</v>
      </c>
      <c r="J196" s="1719">
        <v>0</v>
      </c>
      <c r="K196" s="1719">
        <v>0</v>
      </c>
      <c r="L196" s="1719">
        <v>0</v>
      </c>
      <c r="M196" s="1719">
        <v>0</v>
      </c>
      <c r="N196" s="1719">
        <v>0</v>
      </c>
      <c r="O196" s="1719"/>
      <c r="P196" s="1719">
        <v>0</v>
      </c>
      <c r="Q196" s="1719">
        <v>0</v>
      </c>
      <c r="R196" s="1729">
        <v>0</v>
      </c>
    </row>
    <row r="197" spans="1:18" s="206" customFormat="1" ht="15.75" customHeight="1" thickBot="1">
      <c r="A197" s="1713"/>
      <c r="B197" s="1736"/>
      <c r="C197" s="1737"/>
      <c r="D197" s="1738"/>
      <c r="E197" s="1737"/>
      <c r="F197" s="1738" t="s">
        <v>727</v>
      </c>
      <c r="G197" s="1739" t="s">
        <v>83</v>
      </c>
      <c r="H197" s="1740"/>
      <c r="I197" s="1741">
        <f>I193+I196</f>
        <v>2503421559.2799997</v>
      </c>
      <c r="J197" s="1741">
        <f t="shared" ref="J197:R197" si="5">J193+J196</f>
        <v>0</v>
      </c>
      <c r="K197" s="1741">
        <f t="shared" si="5"/>
        <v>37980094</v>
      </c>
      <c r="L197" s="1741">
        <f t="shared" si="5"/>
        <v>1339938913</v>
      </c>
      <c r="M197" s="1741">
        <f t="shared" si="5"/>
        <v>226770233</v>
      </c>
      <c r="N197" s="1741">
        <f t="shared" si="5"/>
        <v>810831620.27999997</v>
      </c>
      <c r="O197" s="1741">
        <f t="shared" si="5"/>
        <v>0</v>
      </c>
      <c r="P197" s="1741">
        <f t="shared" si="5"/>
        <v>0</v>
      </c>
      <c r="Q197" s="1741">
        <f t="shared" si="5"/>
        <v>0</v>
      </c>
      <c r="R197" s="1741">
        <f t="shared" si="5"/>
        <v>87900699</v>
      </c>
    </row>
    <row r="198" spans="1:18" s="206" customFormat="1">
      <c r="A198" s="1742"/>
      <c r="B198" s="1742"/>
      <c r="C198" s="1713"/>
      <c r="D198" s="1713"/>
      <c r="E198" s="1713"/>
      <c r="F198" s="1713"/>
      <c r="G198" s="1713"/>
      <c r="H198" s="1713"/>
      <c r="I198" s="1713"/>
      <c r="J198" s="1713"/>
      <c r="K198" s="1743"/>
      <c r="L198" s="1713"/>
      <c r="M198" s="1713"/>
      <c r="N198" s="1713"/>
      <c r="O198" s="1713"/>
      <c r="P198" s="1713"/>
      <c r="Q198" s="1713"/>
      <c r="R198" s="1713"/>
    </row>
    <row r="199" spans="1:18">
      <c r="A199" s="712"/>
      <c r="B199" s="712"/>
      <c r="C199" s="712"/>
      <c r="D199" s="712"/>
      <c r="E199" s="712"/>
      <c r="F199" s="712"/>
      <c r="G199" s="712"/>
      <c r="H199" s="712"/>
      <c r="I199" s="717"/>
      <c r="J199" s="712"/>
      <c r="K199" s="719"/>
      <c r="L199" s="712"/>
      <c r="M199" s="712"/>
      <c r="N199" s="718"/>
      <c r="O199" s="712"/>
      <c r="P199" s="712"/>
      <c r="Q199" s="712"/>
      <c r="R199" s="712"/>
    </row>
    <row r="200" spans="1:18">
      <c r="A200" s="712"/>
      <c r="B200" s="712"/>
      <c r="C200" s="712"/>
      <c r="D200" s="712"/>
      <c r="E200" s="712"/>
      <c r="F200" s="712"/>
      <c r="G200" s="712"/>
      <c r="H200" s="712"/>
      <c r="I200" s="459"/>
      <c r="J200" s="719">
        <v>0</v>
      </c>
      <c r="K200" s="718"/>
      <c r="L200" s="712"/>
      <c r="M200" s="712"/>
      <c r="N200" s="719"/>
      <c r="O200" s="712"/>
      <c r="P200" s="712"/>
      <c r="Q200" s="712"/>
      <c r="R200" s="712"/>
    </row>
    <row r="201" spans="1:18">
      <c r="A201" s="712"/>
      <c r="B201" s="712"/>
      <c r="C201" s="712"/>
      <c r="D201" s="712"/>
      <c r="E201" s="720"/>
      <c r="F201" s="720"/>
      <c r="G201" s="720"/>
      <c r="H201" s="712"/>
      <c r="I201" s="459"/>
      <c r="J201" s="721"/>
      <c r="K201" s="719"/>
      <c r="L201" s="712"/>
      <c r="M201" s="712"/>
      <c r="N201" s="712"/>
      <c r="O201" s="712"/>
      <c r="P201" s="712"/>
      <c r="Q201" s="712"/>
      <c r="R201" s="712"/>
    </row>
    <row r="202" spans="1:18">
      <c r="A202" s="712"/>
      <c r="B202" s="712"/>
      <c r="C202" s="712"/>
      <c r="D202" s="712"/>
      <c r="E202" s="720"/>
      <c r="F202" s="720"/>
      <c r="G202" s="720"/>
      <c r="H202" s="712"/>
      <c r="I202" s="718"/>
      <c r="J202" s="712"/>
      <c r="K202" s="712"/>
      <c r="L202" s="712"/>
      <c r="M202" s="712"/>
      <c r="N202" s="712"/>
      <c r="O202" s="712"/>
      <c r="P202" s="712"/>
      <c r="Q202" s="712"/>
      <c r="R202" s="712"/>
    </row>
    <row r="203" spans="1:18">
      <c r="A203" s="712"/>
      <c r="B203" s="712"/>
      <c r="C203" s="712"/>
      <c r="D203" s="712"/>
      <c r="E203" s="720"/>
      <c r="F203" s="720"/>
      <c r="G203" s="720"/>
      <c r="H203" s="712"/>
      <c r="I203" s="719"/>
      <c r="J203" s="712"/>
      <c r="K203" s="712"/>
      <c r="L203" s="712"/>
      <c r="M203" s="712"/>
      <c r="N203" s="712"/>
      <c r="O203" s="712"/>
      <c r="P203" s="712"/>
      <c r="Q203" s="712"/>
      <c r="R203" s="712"/>
    </row>
    <row r="204" spans="1:18">
      <c r="E204" s="720"/>
      <c r="F204" s="720"/>
      <c r="G204" s="720"/>
      <c r="H204" s="712"/>
      <c r="I204" s="712"/>
      <c r="J204" s="712"/>
      <c r="K204" s="712"/>
    </row>
    <row r="205" spans="1:18">
      <c r="E205" s="720"/>
      <c r="F205" s="722"/>
      <c r="G205" s="723"/>
      <c r="H205" s="712"/>
      <c r="I205" s="712"/>
      <c r="J205" s="712"/>
      <c r="K205" s="712"/>
    </row>
    <row r="206" spans="1:18">
      <c r="E206" s="720"/>
      <c r="F206" s="720"/>
      <c r="G206" s="720"/>
      <c r="H206" s="712"/>
      <c r="I206" s="712"/>
      <c r="J206" s="712"/>
      <c r="K206" s="712"/>
    </row>
    <row r="207" spans="1:18">
      <c r="E207" s="720"/>
      <c r="F207" s="720"/>
      <c r="G207" s="720"/>
      <c r="H207" s="712"/>
      <c r="I207" s="712"/>
      <c r="J207" s="712"/>
      <c r="K207" s="712"/>
    </row>
    <row r="208" spans="1:18">
      <c r="E208" s="720"/>
      <c r="F208" s="720"/>
      <c r="G208" s="720"/>
      <c r="H208" s="712"/>
      <c r="I208" s="712"/>
      <c r="J208" s="712"/>
      <c r="K208" s="712"/>
    </row>
    <row r="209" spans="5:11">
      <c r="E209" s="720"/>
      <c r="F209" s="720"/>
      <c r="G209" s="720"/>
      <c r="H209" s="712"/>
      <c r="I209" s="712"/>
      <c r="J209" s="712"/>
      <c r="K209" s="712"/>
    </row>
    <row r="210" spans="5:11">
      <c r="E210" s="720"/>
      <c r="F210" s="720"/>
      <c r="G210" s="720"/>
      <c r="H210" s="712"/>
      <c r="I210" s="712"/>
      <c r="J210" s="712"/>
      <c r="K210" s="712"/>
    </row>
    <row r="212" spans="5:11">
      <c r="E212" s="712"/>
      <c r="F212" s="712"/>
      <c r="G212" s="712"/>
      <c r="H212" s="712"/>
      <c r="I212" s="724"/>
      <c r="J212" s="712"/>
      <c r="K212" s="717"/>
    </row>
    <row r="214" spans="5:11">
      <c r="E214" s="712"/>
      <c r="F214" s="712"/>
      <c r="G214" s="712"/>
      <c r="H214" s="712"/>
      <c r="I214" s="717"/>
      <c r="J214" s="712"/>
      <c r="K214" s="712"/>
    </row>
    <row r="216" spans="5:11">
      <c r="E216" s="712"/>
      <c r="F216" s="712"/>
      <c r="G216" s="712"/>
      <c r="H216" s="712"/>
      <c r="I216" s="724"/>
      <c r="J216" s="712"/>
      <c r="K216" s="712"/>
    </row>
    <row r="217" spans="5:11">
      <c r="E217" s="712"/>
      <c r="F217" s="712"/>
      <c r="G217" s="712"/>
      <c r="H217" s="712"/>
      <c r="I217" s="724"/>
      <c r="J217" s="724"/>
      <c r="K217" s="724"/>
    </row>
    <row r="218" spans="5:11">
      <c r="E218" s="712"/>
      <c r="F218" s="712"/>
      <c r="G218" s="712"/>
      <c r="H218" s="712"/>
      <c r="I218" s="724"/>
      <c r="J218" s="712"/>
      <c r="K218" s="712"/>
    </row>
    <row r="219" spans="5:11">
      <c r="E219" s="712"/>
      <c r="F219" s="712"/>
      <c r="G219" s="712"/>
      <c r="H219" s="712"/>
      <c r="I219" s="717"/>
      <c r="J219" s="712"/>
      <c r="K219" s="712"/>
    </row>
    <row r="221" spans="5:11">
      <c r="I221" s="61"/>
    </row>
  </sheetData>
  <mergeCells count="12">
    <mergeCell ref="A198:B198"/>
    <mergeCell ref="B3:R3"/>
    <mergeCell ref="B4:R4"/>
    <mergeCell ref="B5:B7"/>
    <mergeCell ref="C5:C7"/>
    <mergeCell ref="D5:D7"/>
    <mergeCell ref="E5:E7"/>
    <mergeCell ref="F5:F7"/>
    <mergeCell ref="G5:G7"/>
    <mergeCell ref="H5:H7"/>
    <mergeCell ref="I5:R5"/>
    <mergeCell ref="I6:I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 tint="0.79998168889431442"/>
  </sheetPr>
  <dimension ref="A1:U28"/>
  <sheetViews>
    <sheetView topLeftCell="L1" workbookViewId="0">
      <selection activeCell="C3" sqref="C3:U3"/>
    </sheetView>
  </sheetViews>
  <sheetFormatPr defaultRowHeight="15"/>
  <cols>
    <col min="1" max="1" width="3.28515625" style="538" customWidth="1"/>
    <col min="2" max="2" width="0.140625" style="538" customWidth="1"/>
    <col min="3" max="3" width="11.140625" style="538" customWidth="1"/>
    <col min="4" max="4" width="10.5703125" style="538" customWidth="1"/>
    <col min="5" max="5" width="17.140625" style="538" customWidth="1"/>
    <col min="6" max="6" width="10.85546875" style="538" customWidth="1"/>
    <col min="7" max="7" width="37.140625" style="538" customWidth="1"/>
    <col min="8" max="8" width="5.85546875" style="538" hidden="1" customWidth="1"/>
    <col min="9" max="9" width="15.7109375" style="538" customWidth="1"/>
    <col min="10" max="10" width="9.140625" style="538" customWidth="1"/>
    <col min="11" max="11" width="13.5703125" style="538" customWidth="1"/>
    <col min="12" max="12" width="12" style="538" customWidth="1"/>
    <col min="13" max="13" width="10.85546875" style="538" bestFit="1" customWidth="1"/>
    <col min="14" max="14" width="11.28515625" style="538" customWidth="1"/>
    <col min="15" max="16" width="11.140625" style="538" customWidth="1"/>
    <col min="17" max="17" width="0.42578125" style="538" customWidth="1"/>
    <col min="18" max="18" width="8.42578125" style="538" customWidth="1"/>
    <col min="19" max="19" width="9.5703125" style="538" customWidth="1"/>
    <col min="20" max="20" width="8.42578125" style="538" customWidth="1"/>
    <col min="21" max="21" width="13.28515625" style="538" customWidth="1"/>
    <col min="22" max="16384" width="9.140625" style="538"/>
  </cols>
  <sheetData>
    <row r="1" spans="1:21">
      <c r="A1" s="536"/>
      <c r="B1" s="536"/>
      <c r="C1" s="758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6"/>
      <c r="O1" s="536"/>
      <c r="P1" s="536"/>
      <c r="Q1" s="536"/>
      <c r="R1" s="536"/>
      <c r="S1" s="536"/>
      <c r="T1" s="536"/>
      <c r="U1" s="536"/>
    </row>
    <row r="2" spans="1:21">
      <c r="A2" s="536"/>
      <c r="B2" s="536"/>
      <c r="C2" s="1653" t="s">
        <v>706</v>
      </c>
      <c r="D2" s="1653"/>
      <c r="E2" s="1653"/>
      <c r="F2" s="1653"/>
      <c r="G2" s="1653"/>
      <c r="H2" s="1653"/>
      <c r="I2" s="1653"/>
      <c r="J2" s="1653"/>
      <c r="K2" s="1653"/>
      <c r="L2" s="1653"/>
      <c r="M2" s="1653"/>
      <c r="N2" s="1653"/>
      <c r="O2" s="1653"/>
      <c r="P2" s="1653"/>
      <c r="Q2" s="1653"/>
      <c r="R2" s="1653"/>
      <c r="S2" s="1653"/>
      <c r="T2" s="1653"/>
      <c r="U2" s="1653"/>
    </row>
    <row r="3" spans="1:21" ht="15.75" thickBot="1">
      <c r="A3" s="536"/>
      <c r="B3" s="536"/>
      <c r="C3" s="1654" t="s">
        <v>540</v>
      </c>
      <c r="D3" s="1654"/>
      <c r="E3" s="1654"/>
      <c r="F3" s="1654"/>
      <c r="G3" s="1654"/>
      <c r="H3" s="1654"/>
      <c r="I3" s="1654"/>
      <c r="J3" s="1654"/>
      <c r="K3" s="1654"/>
      <c r="L3" s="1654"/>
      <c r="M3" s="1654"/>
      <c r="N3" s="1654"/>
      <c r="O3" s="1654"/>
      <c r="P3" s="1654"/>
      <c r="Q3" s="1654"/>
      <c r="R3" s="1654"/>
      <c r="S3" s="1654"/>
      <c r="T3" s="1654"/>
      <c r="U3" s="1654"/>
    </row>
    <row r="4" spans="1:21" ht="16.5" customHeight="1" thickTop="1" thickBot="1">
      <c r="A4" s="1655"/>
      <c r="B4" s="1655"/>
      <c r="C4" s="1656" t="s">
        <v>63</v>
      </c>
      <c r="D4" s="1657" t="s">
        <v>25</v>
      </c>
      <c r="E4" s="1657" t="s">
        <v>96</v>
      </c>
      <c r="F4" s="1657" t="s">
        <v>707</v>
      </c>
      <c r="G4" s="1658" t="s">
        <v>502</v>
      </c>
      <c r="H4" s="1658"/>
      <c r="I4" s="1657" t="s">
        <v>98</v>
      </c>
      <c r="J4" s="1657" t="s">
        <v>708</v>
      </c>
      <c r="K4" s="1659" t="s">
        <v>67</v>
      </c>
      <c r="L4" s="1659"/>
      <c r="M4" s="1659"/>
      <c r="N4" s="1659"/>
      <c r="O4" s="1659"/>
      <c r="P4" s="1659"/>
      <c r="Q4" s="1659"/>
      <c r="R4" s="1659"/>
      <c r="S4" s="1659"/>
      <c r="T4" s="1659"/>
      <c r="U4" s="1659"/>
    </row>
    <row r="5" spans="1:21" ht="16.5" thickTop="1" thickBot="1">
      <c r="A5" s="536"/>
      <c r="B5" s="536"/>
      <c r="C5" s="1656"/>
      <c r="D5" s="1657"/>
      <c r="E5" s="1657"/>
      <c r="F5" s="1657"/>
      <c r="G5" s="1658"/>
      <c r="H5" s="1658"/>
      <c r="I5" s="1657"/>
      <c r="J5" s="1657"/>
      <c r="K5" s="1660" t="s">
        <v>68</v>
      </c>
      <c r="L5" s="756" t="s">
        <v>49</v>
      </c>
      <c r="M5" s="756" t="s">
        <v>51</v>
      </c>
      <c r="N5" s="756" t="s">
        <v>34</v>
      </c>
      <c r="O5" s="756" t="s">
        <v>36</v>
      </c>
      <c r="P5" s="756" t="s">
        <v>38</v>
      </c>
      <c r="Q5" s="1661" t="s">
        <v>40</v>
      </c>
      <c r="R5" s="1661"/>
      <c r="S5" s="756" t="s">
        <v>42</v>
      </c>
      <c r="T5" s="756" t="s">
        <v>44</v>
      </c>
      <c r="U5" s="734" t="s">
        <v>46</v>
      </c>
    </row>
    <row r="6" spans="1:21" ht="75.75" customHeight="1" thickTop="1">
      <c r="A6" s="536"/>
      <c r="B6" s="536"/>
      <c r="C6" s="1656"/>
      <c r="D6" s="1657"/>
      <c r="E6" s="1657"/>
      <c r="F6" s="1657"/>
      <c r="G6" s="1658"/>
      <c r="H6" s="1658"/>
      <c r="I6" s="1657"/>
      <c r="J6" s="1657"/>
      <c r="K6" s="1660"/>
      <c r="L6" s="757" t="s">
        <v>70</v>
      </c>
      <c r="M6" s="757" t="s">
        <v>71</v>
      </c>
      <c r="N6" s="757" t="s">
        <v>72</v>
      </c>
      <c r="O6" s="757" t="s">
        <v>73</v>
      </c>
      <c r="P6" s="757" t="s">
        <v>74</v>
      </c>
      <c r="Q6" s="1662" t="s">
        <v>75</v>
      </c>
      <c r="R6" s="1662"/>
      <c r="S6" s="757" t="s">
        <v>76</v>
      </c>
      <c r="T6" s="757" t="s">
        <v>77</v>
      </c>
      <c r="U6" s="735" t="s">
        <v>709</v>
      </c>
    </row>
    <row r="7" spans="1:21" ht="15" customHeight="1">
      <c r="A7" s="536"/>
      <c r="B7" s="536"/>
      <c r="C7" s="546" t="s">
        <v>179</v>
      </c>
      <c r="D7" s="736" t="s">
        <v>153</v>
      </c>
      <c r="E7" s="752" t="s">
        <v>154</v>
      </c>
      <c r="F7" s="736" t="s">
        <v>259</v>
      </c>
      <c r="G7" s="1648" t="s">
        <v>612</v>
      </c>
      <c r="H7" s="1648"/>
      <c r="I7" s="548" t="s">
        <v>81</v>
      </c>
      <c r="J7" s="547"/>
      <c r="K7" s="753">
        <f>SUM(L7:U7)</f>
        <v>900900000</v>
      </c>
      <c r="L7" s="753">
        <v>0</v>
      </c>
      <c r="M7" s="753">
        <v>0</v>
      </c>
      <c r="N7" s="753">
        <v>575300000</v>
      </c>
      <c r="O7" s="753">
        <v>104600000</v>
      </c>
      <c r="P7" s="753">
        <v>81000000</v>
      </c>
      <c r="Q7" s="1649">
        <v>0</v>
      </c>
      <c r="R7" s="1649"/>
      <c r="S7" s="753">
        <v>0</v>
      </c>
      <c r="T7" s="753">
        <v>0</v>
      </c>
      <c r="U7" s="737">
        <v>140000000</v>
      </c>
    </row>
    <row r="8" spans="1:21" ht="15" customHeight="1">
      <c r="A8" s="536"/>
      <c r="B8" s="536"/>
      <c r="C8" s="546" t="s">
        <v>179</v>
      </c>
      <c r="D8" s="736" t="s">
        <v>153</v>
      </c>
      <c r="E8" s="752" t="s">
        <v>154</v>
      </c>
      <c r="F8" s="736" t="s">
        <v>259</v>
      </c>
      <c r="G8" s="1648" t="s">
        <v>612</v>
      </c>
      <c r="H8" s="1648"/>
      <c r="I8" s="548" t="s">
        <v>82</v>
      </c>
      <c r="J8" s="547"/>
      <c r="K8" s="753">
        <f t="shared" ref="K8:K27" si="0">SUM(L8:U8)</f>
        <v>900900000</v>
      </c>
      <c r="L8" s="753">
        <v>0</v>
      </c>
      <c r="M8" s="753">
        <v>0</v>
      </c>
      <c r="N8" s="753">
        <f>N7</f>
        <v>575300000</v>
      </c>
      <c r="O8" s="753">
        <f t="shared" ref="O8:P8" si="1">O7</f>
        <v>104600000</v>
      </c>
      <c r="P8" s="753">
        <f t="shared" si="1"/>
        <v>81000000</v>
      </c>
      <c r="Q8" s="1649">
        <v>0</v>
      </c>
      <c r="R8" s="1649"/>
      <c r="S8" s="753">
        <v>0</v>
      </c>
      <c r="T8" s="753">
        <v>0</v>
      </c>
      <c r="U8" s="737">
        <f>U7</f>
        <v>140000000</v>
      </c>
    </row>
    <row r="9" spans="1:21" ht="15" customHeight="1">
      <c r="A9" s="536"/>
      <c r="B9" s="536"/>
      <c r="C9" s="546" t="s">
        <v>179</v>
      </c>
      <c r="D9" s="736" t="s">
        <v>153</v>
      </c>
      <c r="E9" s="752" t="s">
        <v>154</v>
      </c>
      <c r="F9" s="736" t="s">
        <v>259</v>
      </c>
      <c r="G9" s="1648" t="s">
        <v>612</v>
      </c>
      <c r="H9" s="1648"/>
      <c r="I9" s="548" t="s">
        <v>83</v>
      </c>
      <c r="J9" s="547"/>
      <c r="K9" s="753">
        <f t="shared" si="0"/>
        <v>236627073</v>
      </c>
      <c r="L9" s="753">
        <v>0</v>
      </c>
      <c r="M9" s="753">
        <v>0</v>
      </c>
      <c r="N9" s="753">
        <v>106092440</v>
      </c>
      <c r="O9" s="753">
        <v>31861869</v>
      </c>
      <c r="P9" s="753">
        <v>14003159</v>
      </c>
      <c r="Q9" s="1649">
        <v>0</v>
      </c>
      <c r="R9" s="1649"/>
      <c r="S9" s="753">
        <v>0</v>
      </c>
      <c r="T9" s="753">
        <v>0</v>
      </c>
      <c r="U9" s="737">
        <v>84669605</v>
      </c>
    </row>
    <row r="10" spans="1:21" ht="15" customHeight="1">
      <c r="A10" s="536"/>
      <c r="B10" s="536"/>
      <c r="C10" s="546" t="s">
        <v>179</v>
      </c>
      <c r="D10" s="736" t="s">
        <v>153</v>
      </c>
      <c r="E10" s="752" t="s">
        <v>154</v>
      </c>
      <c r="F10" s="736" t="s">
        <v>260</v>
      </c>
      <c r="G10" s="1648" t="s">
        <v>261</v>
      </c>
      <c r="H10" s="1648"/>
      <c r="I10" s="548" t="s">
        <v>81</v>
      </c>
      <c r="J10" s="547"/>
      <c r="K10" s="753">
        <v>24200000</v>
      </c>
      <c r="L10" s="753">
        <v>0</v>
      </c>
      <c r="M10" s="753">
        <f>K10</f>
        <v>24200000</v>
      </c>
      <c r="N10" s="753">
        <v>0</v>
      </c>
      <c r="O10" s="753">
        <v>0</v>
      </c>
      <c r="P10" s="753">
        <v>0</v>
      </c>
      <c r="Q10" s="1649">
        <v>0</v>
      </c>
      <c r="R10" s="1649"/>
      <c r="S10" s="753">
        <v>0</v>
      </c>
      <c r="T10" s="753">
        <v>0</v>
      </c>
      <c r="U10" s="737">
        <v>0</v>
      </c>
    </row>
    <row r="11" spans="1:21" ht="15" customHeight="1">
      <c r="A11" s="536"/>
      <c r="B11" s="536"/>
      <c r="C11" s="546" t="s">
        <v>179</v>
      </c>
      <c r="D11" s="736" t="s">
        <v>153</v>
      </c>
      <c r="E11" s="752" t="s">
        <v>154</v>
      </c>
      <c r="F11" s="736" t="s">
        <v>260</v>
      </c>
      <c r="G11" s="1648" t="s">
        <v>261</v>
      </c>
      <c r="H11" s="1648"/>
      <c r="I11" s="548" t="s">
        <v>82</v>
      </c>
      <c r="J11" s="547"/>
      <c r="K11" s="753">
        <v>24200000</v>
      </c>
      <c r="L11" s="753">
        <v>0</v>
      </c>
      <c r="M11" s="753">
        <f>K11</f>
        <v>24200000</v>
      </c>
      <c r="N11" s="753">
        <v>0</v>
      </c>
      <c r="O11" s="753">
        <v>0</v>
      </c>
      <c r="P11" s="753">
        <v>0</v>
      </c>
      <c r="Q11" s="1649">
        <v>0</v>
      </c>
      <c r="R11" s="1649"/>
      <c r="S11" s="753">
        <v>0</v>
      </c>
      <c r="T11" s="753">
        <v>0</v>
      </c>
      <c r="U11" s="737">
        <v>0</v>
      </c>
    </row>
    <row r="12" spans="1:21" ht="15" customHeight="1">
      <c r="A12" s="536"/>
      <c r="B12" s="536"/>
      <c r="C12" s="546" t="s">
        <v>179</v>
      </c>
      <c r="D12" s="736" t="s">
        <v>153</v>
      </c>
      <c r="E12" s="752" t="s">
        <v>154</v>
      </c>
      <c r="F12" s="736" t="s">
        <v>260</v>
      </c>
      <c r="G12" s="1648" t="s">
        <v>261</v>
      </c>
      <c r="H12" s="1648"/>
      <c r="I12" s="548" t="s">
        <v>83</v>
      </c>
      <c r="J12" s="547"/>
      <c r="K12" s="753">
        <v>0</v>
      </c>
      <c r="L12" s="753">
        <v>0</v>
      </c>
      <c r="M12" s="753">
        <v>0</v>
      </c>
      <c r="N12" s="753">
        <v>0</v>
      </c>
      <c r="O12" s="753">
        <v>0</v>
      </c>
      <c r="P12" s="753">
        <v>0</v>
      </c>
      <c r="Q12" s="1649">
        <v>0</v>
      </c>
      <c r="R12" s="1649"/>
      <c r="S12" s="753">
        <v>0</v>
      </c>
      <c r="T12" s="753">
        <v>0</v>
      </c>
      <c r="U12" s="737">
        <v>0</v>
      </c>
    </row>
    <row r="13" spans="1:21" ht="15" customHeight="1">
      <c r="A13" s="536"/>
      <c r="B13" s="536"/>
      <c r="C13" s="546" t="s">
        <v>179</v>
      </c>
      <c r="D13" s="736" t="s">
        <v>153</v>
      </c>
      <c r="E13" s="752" t="s">
        <v>154</v>
      </c>
      <c r="F13" s="736" t="s">
        <v>264</v>
      </c>
      <c r="G13" s="1648" t="s">
        <v>614</v>
      </c>
      <c r="H13" s="1648"/>
      <c r="I13" s="548" t="s">
        <v>81</v>
      </c>
      <c r="J13" s="547"/>
      <c r="K13" s="753">
        <v>22150000</v>
      </c>
      <c r="L13" s="753">
        <v>0</v>
      </c>
      <c r="M13" s="753">
        <f>K13</f>
        <v>22150000</v>
      </c>
      <c r="N13" s="753">
        <v>0</v>
      </c>
      <c r="O13" s="753">
        <v>0</v>
      </c>
      <c r="P13" s="753">
        <v>0</v>
      </c>
      <c r="Q13" s="1649">
        <v>0</v>
      </c>
      <c r="R13" s="1649"/>
      <c r="S13" s="753">
        <v>0</v>
      </c>
      <c r="T13" s="753">
        <v>0</v>
      </c>
      <c r="U13" s="737">
        <v>0</v>
      </c>
    </row>
    <row r="14" spans="1:21" ht="15" customHeight="1">
      <c r="A14" s="536"/>
      <c r="B14" s="536"/>
      <c r="C14" s="546" t="s">
        <v>179</v>
      </c>
      <c r="D14" s="736" t="s">
        <v>153</v>
      </c>
      <c r="E14" s="752" t="s">
        <v>154</v>
      </c>
      <c r="F14" s="736" t="s">
        <v>264</v>
      </c>
      <c r="G14" s="1648" t="s">
        <v>614</v>
      </c>
      <c r="H14" s="1648"/>
      <c r="I14" s="548" t="s">
        <v>82</v>
      </c>
      <c r="J14" s="547"/>
      <c r="K14" s="753">
        <v>22150000</v>
      </c>
      <c r="L14" s="753">
        <v>0</v>
      </c>
      <c r="M14" s="753">
        <f>K14</f>
        <v>22150000</v>
      </c>
      <c r="N14" s="753">
        <v>0</v>
      </c>
      <c r="O14" s="753">
        <v>0</v>
      </c>
      <c r="P14" s="753">
        <v>0</v>
      </c>
      <c r="Q14" s="1649">
        <v>0</v>
      </c>
      <c r="R14" s="1649"/>
      <c r="S14" s="753">
        <v>0</v>
      </c>
      <c r="T14" s="753">
        <v>0</v>
      </c>
      <c r="U14" s="737">
        <v>0</v>
      </c>
    </row>
    <row r="15" spans="1:21" ht="15" customHeight="1">
      <c r="A15" s="536"/>
      <c r="B15" s="536"/>
      <c r="C15" s="546" t="s">
        <v>179</v>
      </c>
      <c r="D15" s="736" t="s">
        <v>153</v>
      </c>
      <c r="E15" s="752" t="s">
        <v>154</v>
      </c>
      <c r="F15" s="736" t="s">
        <v>264</v>
      </c>
      <c r="G15" s="1648" t="s">
        <v>614</v>
      </c>
      <c r="H15" s="1648"/>
      <c r="I15" s="548" t="s">
        <v>83</v>
      </c>
      <c r="J15" s="547"/>
      <c r="K15" s="753">
        <v>12239476</v>
      </c>
      <c r="L15" s="753">
        <v>0</v>
      </c>
      <c r="M15" s="753">
        <f>K15</f>
        <v>12239476</v>
      </c>
      <c r="N15" s="753">
        <v>0</v>
      </c>
      <c r="O15" s="753">
        <v>0</v>
      </c>
      <c r="P15" s="753">
        <v>0</v>
      </c>
      <c r="Q15" s="1649">
        <v>0</v>
      </c>
      <c r="R15" s="1649"/>
      <c r="S15" s="753">
        <v>0</v>
      </c>
      <c r="T15" s="753">
        <v>0</v>
      </c>
      <c r="U15" s="737">
        <v>0</v>
      </c>
    </row>
    <row r="16" spans="1:21" ht="15" customHeight="1">
      <c r="A16" s="536"/>
      <c r="B16" s="536"/>
      <c r="C16" s="546" t="s">
        <v>179</v>
      </c>
      <c r="D16" s="736" t="s">
        <v>153</v>
      </c>
      <c r="E16" s="752" t="s">
        <v>154</v>
      </c>
      <c r="F16" s="736" t="s">
        <v>265</v>
      </c>
      <c r="G16" s="1648" t="s">
        <v>615</v>
      </c>
      <c r="H16" s="1648"/>
      <c r="I16" s="548" t="s">
        <v>81</v>
      </c>
      <c r="J16" s="547"/>
      <c r="K16" s="753">
        <f>SUM(L16:U16)</f>
        <v>55000000</v>
      </c>
      <c r="L16" s="753">
        <v>0</v>
      </c>
      <c r="M16" s="753">
        <v>55000000</v>
      </c>
      <c r="N16" s="753">
        <v>0</v>
      </c>
      <c r="O16" s="753">
        <v>0</v>
      </c>
      <c r="P16" s="753">
        <v>0</v>
      </c>
      <c r="Q16" s="1649">
        <v>0</v>
      </c>
      <c r="R16" s="1649"/>
      <c r="S16" s="753">
        <v>0</v>
      </c>
      <c r="T16" s="753">
        <v>0</v>
      </c>
      <c r="U16" s="737">
        <v>0</v>
      </c>
    </row>
    <row r="17" spans="1:21" ht="15" customHeight="1">
      <c r="A17" s="536"/>
      <c r="B17" s="536"/>
      <c r="C17" s="546" t="s">
        <v>179</v>
      </c>
      <c r="D17" s="736" t="s">
        <v>153</v>
      </c>
      <c r="E17" s="752" t="s">
        <v>154</v>
      </c>
      <c r="F17" s="736" t="s">
        <v>265</v>
      </c>
      <c r="G17" s="1648" t="s">
        <v>615</v>
      </c>
      <c r="H17" s="1648"/>
      <c r="I17" s="548" t="s">
        <v>82</v>
      </c>
      <c r="J17" s="547"/>
      <c r="K17" s="753">
        <f t="shared" si="0"/>
        <v>55000000</v>
      </c>
      <c r="L17" s="753">
        <v>0</v>
      </c>
      <c r="M17" s="753">
        <v>55000000</v>
      </c>
      <c r="N17" s="753">
        <v>0</v>
      </c>
      <c r="O17" s="753">
        <v>0</v>
      </c>
      <c r="P17" s="753">
        <v>0</v>
      </c>
      <c r="Q17" s="1649">
        <v>0</v>
      </c>
      <c r="R17" s="1649"/>
      <c r="S17" s="753">
        <v>0</v>
      </c>
      <c r="T17" s="753">
        <v>0</v>
      </c>
      <c r="U17" s="737">
        <v>0</v>
      </c>
    </row>
    <row r="18" spans="1:21" ht="15" customHeight="1">
      <c r="A18" s="536"/>
      <c r="B18" s="536"/>
      <c r="C18" s="546" t="s">
        <v>179</v>
      </c>
      <c r="D18" s="736" t="s">
        <v>153</v>
      </c>
      <c r="E18" s="752" t="s">
        <v>154</v>
      </c>
      <c r="F18" s="736" t="s">
        <v>265</v>
      </c>
      <c r="G18" s="1648" t="s">
        <v>615</v>
      </c>
      <c r="H18" s="1648"/>
      <c r="I18" s="548" t="s">
        <v>83</v>
      </c>
      <c r="J18" s="547"/>
      <c r="K18" s="753">
        <f t="shared" si="0"/>
        <v>0</v>
      </c>
      <c r="L18" s="753">
        <v>0</v>
      </c>
      <c r="M18" s="753">
        <v>0</v>
      </c>
      <c r="N18" s="753">
        <v>0</v>
      </c>
      <c r="O18" s="753">
        <v>0</v>
      </c>
      <c r="P18" s="753">
        <v>0</v>
      </c>
      <c r="Q18" s="1649">
        <v>0</v>
      </c>
      <c r="R18" s="1649"/>
      <c r="S18" s="753">
        <v>0</v>
      </c>
      <c r="T18" s="753">
        <v>0</v>
      </c>
      <c r="U18" s="737">
        <v>0</v>
      </c>
    </row>
    <row r="19" spans="1:21" ht="15" customHeight="1">
      <c r="A19" s="536"/>
      <c r="B19" s="536"/>
      <c r="C19" s="546" t="s">
        <v>179</v>
      </c>
      <c r="D19" s="736" t="s">
        <v>153</v>
      </c>
      <c r="E19" s="752" t="s">
        <v>154</v>
      </c>
      <c r="F19" s="736" t="s">
        <v>266</v>
      </c>
      <c r="G19" s="1648" t="s">
        <v>616</v>
      </c>
      <c r="H19" s="1648"/>
      <c r="I19" s="548" t="s">
        <v>81</v>
      </c>
      <c r="J19" s="547"/>
      <c r="K19" s="753">
        <f t="shared" si="0"/>
        <v>1200000</v>
      </c>
      <c r="L19" s="753">
        <v>0</v>
      </c>
      <c r="M19" s="753">
        <v>1200000</v>
      </c>
      <c r="N19" s="753">
        <v>0</v>
      </c>
      <c r="O19" s="753">
        <v>0</v>
      </c>
      <c r="P19" s="753">
        <v>0</v>
      </c>
      <c r="Q19" s="1649">
        <v>0</v>
      </c>
      <c r="R19" s="1649"/>
      <c r="S19" s="753">
        <v>0</v>
      </c>
      <c r="T19" s="753">
        <v>0</v>
      </c>
      <c r="U19" s="737">
        <v>0</v>
      </c>
    </row>
    <row r="20" spans="1:21" ht="15" customHeight="1">
      <c r="A20" s="536"/>
      <c r="B20" s="536"/>
      <c r="C20" s="546" t="s">
        <v>179</v>
      </c>
      <c r="D20" s="736" t="s">
        <v>153</v>
      </c>
      <c r="E20" s="752" t="s">
        <v>154</v>
      </c>
      <c r="F20" s="736" t="s">
        <v>266</v>
      </c>
      <c r="G20" s="1648" t="s">
        <v>616</v>
      </c>
      <c r="H20" s="1648"/>
      <c r="I20" s="548" t="s">
        <v>82</v>
      </c>
      <c r="J20" s="547"/>
      <c r="K20" s="753">
        <f t="shared" si="0"/>
        <v>1200000</v>
      </c>
      <c r="L20" s="753">
        <v>0</v>
      </c>
      <c r="M20" s="753">
        <v>1200000</v>
      </c>
      <c r="N20" s="753">
        <v>0</v>
      </c>
      <c r="O20" s="753">
        <v>0</v>
      </c>
      <c r="P20" s="753">
        <v>0</v>
      </c>
      <c r="Q20" s="1649">
        <v>0</v>
      </c>
      <c r="R20" s="1649"/>
      <c r="S20" s="753">
        <v>0</v>
      </c>
      <c r="T20" s="753">
        <v>0</v>
      </c>
      <c r="U20" s="737">
        <v>0</v>
      </c>
    </row>
    <row r="21" spans="1:21" ht="15" customHeight="1">
      <c r="A21" s="536"/>
      <c r="B21" s="536"/>
      <c r="C21" s="546" t="s">
        <v>179</v>
      </c>
      <c r="D21" s="736" t="s">
        <v>153</v>
      </c>
      <c r="E21" s="752" t="s">
        <v>154</v>
      </c>
      <c r="F21" s="736" t="s">
        <v>266</v>
      </c>
      <c r="G21" s="1648" t="s">
        <v>616</v>
      </c>
      <c r="H21" s="1648"/>
      <c r="I21" s="548" t="s">
        <v>83</v>
      </c>
      <c r="J21" s="547"/>
      <c r="K21" s="753">
        <f t="shared" si="0"/>
        <v>0</v>
      </c>
      <c r="L21" s="753">
        <v>0</v>
      </c>
      <c r="M21" s="753">
        <v>0</v>
      </c>
      <c r="N21" s="753">
        <v>0</v>
      </c>
      <c r="O21" s="753">
        <v>0</v>
      </c>
      <c r="P21" s="753">
        <v>0</v>
      </c>
      <c r="Q21" s="1649">
        <v>0</v>
      </c>
      <c r="R21" s="1649"/>
      <c r="S21" s="753">
        <v>0</v>
      </c>
      <c r="T21" s="753">
        <v>0</v>
      </c>
      <c r="U21" s="737">
        <v>0</v>
      </c>
    </row>
    <row r="22" spans="1:21">
      <c r="A22" s="536"/>
      <c r="B22" s="536"/>
      <c r="C22" s="546" t="s">
        <v>179</v>
      </c>
      <c r="D22" s="736" t="s">
        <v>153</v>
      </c>
      <c r="E22" s="752" t="s">
        <v>154</v>
      </c>
      <c r="F22" s="736" t="s">
        <v>177</v>
      </c>
      <c r="G22" s="1652" t="s">
        <v>178</v>
      </c>
      <c r="H22" s="1652"/>
      <c r="I22" s="548" t="s">
        <v>81</v>
      </c>
      <c r="J22" s="547"/>
      <c r="K22" s="753">
        <f>SUM(L22:U22)</f>
        <v>754450000</v>
      </c>
      <c r="L22" s="753">
        <v>0</v>
      </c>
      <c r="M22" s="753">
        <v>754450000</v>
      </c>
      <c r="N22" s="753">
        <v>0</v>
      </c>
      <c r="O22" s="753">
        <v>0</v>
      </c>
      <c r="P22" s="753">
        <v>0</v>
      </c>
      <c r="Q22" s="1649">
        <v>0</v>
      </c>
      <c r="R22" s="1649"/>
      <c r="S22" s="753">
        <v>0</v>
      </c>
      <c r="T22" s="753">
        <v>0</v>
      </c>
      <c r="U22" s="737">
        <v>0</v>
      </c>
    </row>
    <row r="23" spans="1:21">
      <c r="A23" s="536"/>
      <c r="B23" s="536"/>
      <c r="C23" s="546" t="s">
        <v>179</v>
      </c>
      <c r="D23" s="736" t="s">
        <v>153</v>
      </c>
      <c r="E23" s="752" t="s">
        <v>154</v>
      </c>
      <c r="F23" s="736" t="s">
        <v>177</v>
      </c>
      <c r="G23" s="1648" t="s">
        <v>178</v>
      </c>
      <c r="H23" s="1648"/>
      <c r="I23" s="548" t="s">
        <v>82</v>
      </c>
      <c r="J23" s="547"/>
      <c r="K23" s="753">
        <f>SUM(L23:U23)</f>
        <v>754450000</v>
      </c>
      <c r="L23" s="753">
        <v>0</v>
      </c>
      <c r="M23" s="753">
        <v>754450000</v>
      </c>
      <c r="N23" s="753">
        <v>0</v>
      </c>
      <c r="O23" s="753">
        <v>0</v>
      </c>
      <c r="P23" s="753">
        <v>0</v>
      </c>
      <c r="Q23" s="1649">
        <v>0</v>
      </c>
      <c r="R23" s="1649"/>
      <c r="S23" s="753">
        <v>0</v>
      </c>
      <c r="T23" s="753">
        <v>0</v>
      </c>
      <c r="U23" s="737">
        <v>0</v>
      </c>
    </row>
    <row r="24" spans="1:21">
      <c r="A24" s="536"/>
      <c r="B24" s="536"/>
      <c r="C24" s="546" t="s">
        <v>179</v>
      </c>
      <c r="D24" s="736" t="s">
        <v>153</v>
      </c>
      <c r="E24" s="752" t="s">
        <v>154</v>
      </c>
      <c r="F24" s="736" t="s">
        <v>177</v>
      </c>
      <c r="G24" s="1648" t="s">
        <v>178</v>
      </c>
      <c r="H24" s="1648"/>
      <c r="I24" s="548" t="s">
        <v>83</v>
      </c>
      <c r="J24" s="547"/>
      <c r="K24" s="753">
        <f t="shared" si="0"/>
        <v>0</v>
      </c>
      <c r="L24" s="753">
        <v>0</v>
      </c>
      <c r="M24" s="753">
        <v>0</v>
      </c>
      <c r="N24" s="753">
        <v>0</v>
      </c>
      <c r="O24" s="753">
        <v>0</v>
      </c>
      <c r="P24" s="753">
        <v>0</v>
      </c>
      <c r="Q24" s="1649">
        <v>0</v>
      </c>
      <c r="R24" s="1649"/>
      <c r="S24" s="753">
        <v>0</v>
      </c>
      <c r="T24" s="753">
        <v>0</v>
      </c>
      <c r="U24" s="737">
        <v>0</v>
      </c>
    </row>
    <row r="25" spans="1:21">
      <c r="A25" s="536"/>
      <c r="B25" s="536"/>
      <c r="C25" s="546"/>
      <c r="D25" s="736"/>
      <c r="E25" s="752"/>
      <c r="F25" s="736"/>
      <c r="G25" s="1648" t="s">
        <v>714</v>
      </c>
      <c r="H25" s="1648"/>
      <c r="I25" s="548" t="s">
        <v>81</v>
      </c>
      <c r="J25" s="547"/>
      <c r="K25" s="753">
        <f>SUM(L25:U25)</f>
        <v>1757900000</v>
      </c>
      <c r="L25" s="753">
        <v>0</v>
      </c>
      <c r="M25" s="753">
        <f>M7+M10+M13+M16+M19+M22</f>
        <v>857000000</v>
      </c>
      <c r="N25" s="753">
        <f t="shared" ref="N25:P27" si="2">N7+N10+N13+N16+N19+N22</f>
        <v>575300000</v>
      </c>
      <c r="O25" s="753">
        <f t="shared" si="2"/>
        <v>104600000</v>
      </c>
      <c r="P25" s="753">
        <f t="shared" si="2"/>
        <v>81000000</v>
      </c>
      <c r="Q25" s="1649">
        <v>0</v>
      </c>
      <c r="R25" s="1649"/>
      <c r="S25" s="753">
        <v>0</v>
      </c>
      <c r="T25" s="753">
        <v>0</v>
      </c>
      <c r="U25" s="737">
        <f>U7+U10+U13+U16+U19+U22</f>
        <v>140000000</v>
      </c>
    </row>
    <row r="26" spans="1:21">
      <c r="A26" s="536"/>
      <c r="B26" s="536"/>
      <c r="C26" s="546"/>
      <c r="D26" s="736"/>
      <c r="E26" s="752"/>
      <c r="F26" s="736"/>
      <c r="G26" s="1648" t="s">
        <v>714</v>
      </c>
      <c r="H26" s="1648"/>
      <c r="I26" s="548" t="s">
        <v>82</v>
      </c>
      <c r="J26" s="547"/>
      <c r="K26" s="753">
        <f t="shared" si="0"/>
        <v>1757900000</v>
      </c>
      <c r="L26" s="753">
        <v>0</v>
      </c>
      <c r="M26" s="753">
        <f>M8+M11+M14+M17+M20+M23</f>
        <v>857000000</v>
      </c>
      <c r="N26" s="753">
        <f t="shared" si="2"/>
        <v>575300000</v>
      </c>
      <c r="O26" s="753">
        <f t="shared" si="2"/>
        <v>104600000</v>
      </c>
      <c r="P26" s="753">
        <f t="shared" si="2"/>
        <v>81000000</v>
      </c>
      <c r="Q26" s="1649">
        <v>0</v>
      </c>
      <c r="R26" s="1649"/>
      <c r="S26" s="753">
        <v>0</v>
      </c>
      <c r="T26" s="753">
        <v>0</v>
      </c>
      <c r="U26" s="737">
        <f>U8+U11+U14+U17+U20+U23</f>
        <v>140000000</v>
      </c>
    </row>
    <row r="27" spans="1:21" ht="15.75" thickBot="1">
      <c r="A27" s="536"/>
      <c r="B27" s="536"/>
      <c r="C27" s="738"/>
      <c r="D27" s="739"/>
      <c r="E27" s="754"/>
      <c r="F27" s="739"/>
      <c r="G27" s="1650" t="s">
        <v>714</v>
      </c>
      <c r="H27" s="1650"/>
      <c r="I27" s="740" t="s">
        <v>83</v>
      </c>
      <c r="J27" s="741"/>
      <c r="K27" s="755">
        <f t="shared" si="0"/>
        <v>248866549</v>
      </c>
      <c r="L27" s="755">
        <v>0</v>
      </c>
      <c r="M27" s="755">
        <f>M9+M12+M15+M18+M21+M24</f>
        <v>12239476</v>
      </c>
      <c r="N27" s="755">
        <f t="shared" si="2"/>
        <v>106092440</v>
      </c>
      <c r="O27" s="755">
        <f t="shared" si="2"/>
        <v>31861869</v>
      </c>
      <c r="P27" s="755">
        <f t="shared" si="2"/>
        <v>14003159</v>
      </c>
      <c r="Q27" s="1651">
        <v>0</v>
      </c>
      <c r="R27" s="1651"/>
      <c r="S27" s="755">
        <v>0</v>
      </c>
      <c r="T27" s="755">
        <v>0</v>
      </c>
      <c r="U27" s="742">
        <f>U9+U12+U15+U18+U21+U24</f>
        <v>84669605</v>
      </c>
    </row>
    <row r="28" spans="1:21" ht="15.75" thickTop="1">
      <c r="A28" s="536"/>
      <c r="B28" s="1647"/>
      <c r="C28" s="1647"/>
      <c r="D28" s="536"/>
      <c r="E28" s="536"/>
      <c r="F28" s="536"/>
      <c r="G28" s="536"/>
      <c r="H28" s="536"/>
      <c r="I28" s="536"/>
      <c r="J28" s="536"/>
      <c r="K28" s="536"/>
      <c r="L28" s="536"/>
      <c r="M28" s="536"/>
      <c r="N28" s="536"/>
      <c r="O28" s="536"/>
      <c r="P28" s="536"/>
      <c r="Q28" s="536"/>
      <c r="R28" s="536"/>
      <c r="S28" s="536"/>
      <c r="T28" s="536"/>
      <c r="U28" s="536"/>
    </row>
  </sheetData>
  <mergeCells count="57"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  <mergeCell ref="K4:U4"/>
    <mergeCell ref="K5:K6"/>
    <mergeCell ref="Q5:R5"/>
    <mergeCell ref="Q6:R6"/>
    <mergeCell ref="G7:H7"/>
    <mergeCell ref="Q7:R7"/>
    <mergeCell ref="G8:H8"/>
    <mergeCell ref="Q8:R8"/>
    <mergeCell ref="G9:H9"/>
    <mergeCell ref="Q9:R9"/>
    <mergeCell ref="G10:H10"/>
    <mergeCell ref="Q10:R10"/>
    <mergeCell ref="G11:H11"/>
    <mergeCell ref="Q11:R11"/>
    <mergeCell ref="G12:H12"/>
    <mergeCell ref="Q12:R12"/>
    <mergeCell ref="G13:H13"/>
    <mergeCell ref="Q13:R13"/>
    <mergeCell ref="G14:H14"/>
    <mergeCell ref="Q14:R14"/>
    <mergeCell ref="G15:H15"/>
    <mergeCell ref="Q15:R15"/>
    <mergeCell ref="G16:H16"/>
    <mergeCell ref="Q16:R16"/>
    <mergeCell ref="G17:H17"/>
    <mergeCell ref="Q17:R17"/>
    <mergeCell ref="G18:H18"/>
    <mergeCell ref="Q18:R18"/>
    <mergeCell ref="G19:H19"/>
    <mergeCell ref="Q19:R19"/>
    <mergeCell ref="G20:H20"/>
    <mergeCell ref="Q20:R20"/>
    <mergeCell ref="G21:H21"/>
    <mergeCell ref="Q21:R21"/>
    <mergeCell ref="G22:H22"/>
    <mergeCell ref="Q22:R22"/>
    <mergeCell ref="G23:H23"/>
    <mergeCell ref="Q23:R23"/>
    <mergeCell ref="G24:H24"/>
    <mergeCell ref="Q24:R24"/>
    <mergeCell ref="B28:C28"/>
    <mergeCell ref="G25:H25"/>
    <mergeCell ref="Q25:R25"/>
    <mergeCell ref="G26:H26"/>
    <mergeCell ref="Q26:R26"/>
    <mergeCell ref="G27:H27"/>
    <mergeCell ref="Q27:R2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 tint="0.79998168889431442"/>
  </sheetPr>
  <dimension ref="A1:T25"/>
  <sheetViews>
    <sheetView workbookViewId="0">
      <selection activeCell="N19" sqref="N19"/>
    </sheetView>
  </sheetViews>
  <sheetFormatPr defaultRowHeight="15"/>
  <cols>
    <col min="1" max="1" width="3.28515625" style="42" customWidth="1"/>
    <col min="2" max="2" width="0.140625" style="42" customWidth="1"/>
    <col min="3" max="3" width="6.85546875" style="42" customWidth="1"/>
    <col min="4" max="4" width="9.140625" style="42" customWidth="1"/>
    <col min="5" max="5" width="13.140625" style="42" customWidth="1"/>
    <col min="6" max="6" width="8.140625" style="42" customWidth="1"/>
    <col min="7" max="7" width="16.28515625" style="42" customWidth="1"/>
    <col min="8" max="8" width="0.140625" style="42" customWidth="1"/>
    <col min="9" max="9" width="10.42578125" style="42" customWidth="1"/>
    <col min="10" max="10" width="7.85546875" style="42" customWidth="1"/>
    <col min="11" max="11" width="11.28515625" style="42" customWidth="1"/>
    <col min="12" max="12" width="6.7109375" style="42" customWidth="1"/>
    <col min="13" max="13" width="13" style="42" customWidth="1"/>
    <col min="14" max="14" width="11" style="42" customWidth="1"/>
    <col min="15" max="15" width="10" style="42" customWidth="1"/>
    <col min="16" max="16" width="10.42578125" style="42" customWidth="1"/>
    <col min="17" max="17" width="6.42578125" style="42" customWidth="1"/>
    <col min="18" max="18" width="8" style="42" customWidth="1"/>
    <col min="19" max="19" width="8.7109375" style="42" customWidth="1"/>
    <col min="20" max="20" width="8.28515625" style="42" customWidth="1"/>
    <col min="21" max="256" width="9.140625" style="42"/>
    <col min="257" max="257" width="3.28515625" style="42" customWidth="1"/>
    <col min="258" max="258" width="0.140625" style="42" customWidth="1"/>
    <col min="259" max="259" width="6.85546875" style="42" customWidth="1"/>
    <col min="260" max="260" width="9.140625" style="42" customWidth="1"/>
    <col min="261" max="261" width="13.140625" style="42" customWidth="1"/>
    <col min="262" max="262" width="8.140625" style="42" customWidth="1"/>
    <col min="263" max="263" width="16.28515625" style="42" customWidth="1"/>
    <col min="264" max="264" width="0" style="42" hidden="1" customWidth="1"/>
    <col min="265" max="265" width="10.42578125" style="42" customWidth="1"/>
    <col min="266" max="266" width="7.85546875" style="42" customWidth="1"/>
    <col min="267" max="267" width="11.28515625" style="42" customWidth="1"/>
    <col min="268" max="268" width="6.7109375" style="42" customWidth="1"/>
    <col min="269" max="269" width="10.7109375" style="42" customWidth="1"/>
    <col min="270" max="270" width="11" style="42" customWidth="1"/>
    <col min="271" max="271" width="10" style="42" customWidth="1"/>
    <col min="272" max="272" width="10.42578125" style="42" customWidth="1"/>
    <col min="273" max="273" width="6.42578125" style="42" customWidth="1"/>
    <col min="274" max="274" width="8" style="42" customWidth="1"/>
    <col min="275" max="275" width="8.7109375" style="42" customWidth="1"/>
    <col min="276" max="276" width="8.28515625" style="42" customWidth="1"/>
    <col min="277" max="512" width="9.140625" style="42"/>
    <col min="513" max="513" width="3.28515625" style="42" customWidth="1"/>
    <col min="514" max="514" width="0.140625" style="42" customWidth="1"/>
    <col min="515" max="515" width="6.85546875" style="42" customWidth="1"/>
    <col min="516" max="516" width="9.140625" style="42" customWidth="1"/>
    <col min="517" max="517" width="13.140625" style="42" customWidth="1"/>
    <col min="518" max="518" width="8.140625" style="42" customWidth="1"/>
    <col min="519" max="519" width="16.28515625" style="42" customWidth="1"/>
    <col min="520" max="520" width="0" style="42" hidden="1" customWidth="1"/>
    <col min="521" max="521" width="10.42578125" style="42" customWidth="1"/>
    <col min="522" max="522" width="7.85546875" style="42" customWidth="1"/>
    <col min="523" max="523" width="11.28515625" style="42" customWidth="1"/>
    <col min="524" max="524" width="6.7109375" style="42" customWidth="1"/>
    <col min="525" max="525" width="10.7109375" style="42" customWidth="1"/>
    <col min="526" max="526" width="11" style="42" customWidth="1"/>
    <col min="527" max="527" width="10" style="42" customWidth="1"/>
    <col min="528" max="528" width="10.42578125" style="42" customWidth="1"/>
    <col min="529" max="529" width="6.42578125" style="42" customWidth="1"/>
    <col min="530" max="530" width="8" style="42" customWidth="1"/>
    <col min="531" max="531" width="8.7109375" style="42" customWidth="1"/>
    <col min="532" max="532" width="8.28515625" style="42" customWidth="1"/>
    <col min="533" max="768" width="9.140625" style="42"/>
    <col min="769" max="769" width="3.28515625" style="42" customWidth="1"/>
    <col min="770" max="770" width="0.140625" style="42" customWidth="1"/>
    <col min="771" max="771" width="6.85546875" style="42" customWidth="1"/>
    <col min="772" max="772" width="9.140625" style="42" customWidth="1"/>
    <col min="773" max="773" width="13.140625" style="42" customWidth="1"/>
    <col min="774" max="774" width="8.140625" style="42" customWidth="1"/>
    <col min="775" max="775" width="16.28515625" style="42" customWidth="1"/>
    <col min="776" max="776" width="0" style="42" hidden="1" customWidth="1"/>
    <col min="777" max="777" width="10.42578125" style="42" customWidth="1"/>
    <col min="778" max="778" width="7.85546875" style="42" customWidth="1"/>
    <col min="779" max="779" width="11.28515625" style="42" customWidth="1"/>
    <col min="780" max="780" width="6.7109375" style="42" customWidth="1"/>
    <col min="781" max="781" width="10.7109375" style="42" customWidth="1"/>
    <col min="782" max="782" width="11" style="42" customWidth="1"/>
    <col min="783" max="783" width="10" style="42" customWidth="1"/>
    <col min="784" max="784" width="10.42578125" style="42" customWidth="1"/>
    <col min="785" max="785" width="6.42578125" style="42" customWidth="1"/>
    <col min="786" max="786" width="8" style="42" customWidth="1"/>
    <col min="787" max="787" width="8.7109375" style="42" customWidth="1"/>
    <col min="788" max="788" width="8.28515625" style="42" customWidth="1"/>
    <col min="789" max="1024" width="9.140625" style="42"/>
    <col min="1025" max="1025" width="3.28515625" style="42" customWidth="1"/>
    <col min="1026" max="1026" width="0.140625" style="42" customWidth="1"/>
    <col min="1027" max="1027" width="6.85546875" style="42" customWidth="1"/>
    <col min="1028" max="1028" width="9.140625" style="42" customWidth="1"/>
    <col min="1029" max="1029" width="13.140625" style="42" customWidth="1"/>
    <col min="1030" max="1030" width="8.140625" style="42" customWidth="1"/>
    <col min="1031" max="1031" width="16.28515625" style="42" customWidth="1"/>
    <col min="1032" max="1032" width="0" style="42" hidden="1" customWidth="1"/>
    <col min="1033" max="1033" width="10.42578125" style="42" customWidth="1"/>
    <col min="1034" max="1034" width="7.85546875" style="42" customWidth="1"/>
    <col min="1035" max="1035" width="11.28515625" style="42" customWidth="1"/>
    <col min="1036" max="1036" width="6.7109375" style="42" customWidth="1"/>
    <col min="1037" max="1037" width="10.7109375" style="42" customWidth="1"/>
    <col min="1038" max="1038" width="11" style="42" customWidth="1"/>
    <col min="1039" max="1039" width="10" style="42" customWidth="1"/>
    <col min="1040" max="1040" width="10.42578125" style="42" customWidth="1"/>
    <col min="1041" max="1041" width="6.42578125" style="42" customWidth="1"/>
    <col min="1042" max="1042" width="8" style="42" customWidth="1"/>
    <col min="1043" max="1043" width="8.7109375" style="42" customWidth="1"/>
    <col min="1044" max="1044" width="8.28515625" style="42" customWidth="1"/>
    <col min="1045" max="1280" width="9.140625" style="42"/>
    <col min="1281" max="1281" width="3.28515625" style="42" customWidth="1"/>
    <col min="1282" max="1282" width="0.140625" style="42" customWidth="1"/>
    <col min="1283" max="1283" width="6.85546875" style="42" customWidth="1"/>
    <col min="1284" max="1284" width="9.140625" style="42" customWidth="1"/>
    <col min="1285" max="1285" width="13.140625" style="42" customWidth="1"/>
    <col min="1286" max="1286" width="8.140625" style="42" customWidth="1"/>
    <col min="1287" max="1287" width="16.28515625" style="42" customWidth="1"/>
    <col min="1288" max="1288" width="0" style="42" hidden="1" customWidth="1"/>
    <col min="1289" max="1289" width="10.42578125" style="42" customWidth="1"/>
    <col min="1290" max="1290" width="7.85546875" style="42" customWidth="1"/>
    <col min="1291" max="1291" width="11.28515625" style="42" customWidth="1"/>
    <col min="1292" max="1292" width="6.7109375" style="42" customWidth="1"/>
    <col min="1293" max="1293" width="10.7109375" style="42" customWidth="1"/>
    <col min="1294" max="1294" width="11" style="42" customWidth="1"/>
    <col min="1295" max="1295" width="10" style="42" customWidth="1"/>
    <col min="1296" max="1296" width="10.42578125" style="42" customWidth="1"/>
    <col min="1297" max="1297" width="6.42578125" style="42" customWidth="1"/>
    <col min="1298" max="1298" width="8" style="42" customWidth="1"/>
    <col min="1299" max="1299" width="8.7109375" style="42" customWidth="1"/>
    <col min="1300" max="1300" width="8.28515625" style="42" customWidth="1"/>
    <col min="1301" max="1536" width="9.140625" style="42"/>
    <col min="1537" max="1537" width="3.28515625" style="42" customWidth="1"/>
    <col min="1538" max="1538" width="0.140625" style="42" customWidth="1"/>
    <col min="1539" max="1539" width="6.85546875" style="42" customWidth="1"/>
    <col min="1540" max="1540" width="9.140625" style="42" customWidth="1"/>
    <col min="1541" max="1541" width="13.140625" style="42" customWidth="1"/>
    <col min="1542" max="1542" width="8.140625" style="42" customWidth="1"/>
    <col min="1543" max="1543" width="16.28515625" style="42" customWidth="1"/>
    <col min="1544" max="1544" width="0" style="42" hidden="1" customWidth="1"/>
    <col min="1545" max="1545" width="10.42578125" style="42" customWidth="1"/>
    <col min="1546" max="1546" width="7.85546875" style="42" customWidth="1"/>
    <col min="1547" max="1547" width="11.28515625" style="42" customWidth="1"/>
    <col min="1548" max="1548" width="6.7109375" style="42" customWidth="1"/>
    <col min="1549" max="1549" width="10.7109375" style="42" customWidth="1"/>
    <col min="1550" max="1550" width="11" style="42" customWidth="1"/>
    <col min="1551" max="1551" width="10" style="42" customWidth="1"/>
    <col min="1552" max="1552" width="10.42578125" style="42" customWidth="1"/>
    <col min="1553" max="1553" width="6.42578125" style="42" customWidth="1"/>
    <col min="1554" max="1554" width="8" style="42" customWidth="1"/>
    <col min="1555" max="1555" width="8.7109375" style="42" customWidth="1"/>
    <col min="1556" max="1556" width="8.28515625" style="42" customWidth="1"/>
    <col min="1557" max="1792" width="9.140625" style="42"/>
    <col min="1793" max="1793" width="3.28515625" style="42" customWidth="1"/>
    <col min="1794" max="1794" width="0.140625" style="42" customWidth="1"/>
    <col min="1795" max="1795" width="6.85546875" style="42" customWidth="1"/>
    <col min="1796" max="1796" width="9.140625" style="42" customWidth="1"/>
    <col min="1797" max="1797" width="13.140625" style="42" customWidth="1"/>
    <col min="1798" max="1798" width="8.140625" style="42" customWidth="1"/>
    <col min="1799" max="1799" width="16.28515625" style="42" customWidth="1"/>
    <col min="1800" max="1800" width="0" style="42" hidden="1" customWidth="1"/>
    <col min="1801" max="1801" width="10.42578125" style="42" customWidth="1"/>
    <col min="1802" max="1802" width="7.85546875" style="42" customWidth="1"/>
    <col min="1803" max="1803" width="11.28515625" style="42" customWidth="1"/>
    <col min="1804" max="1804" width="6.7109375" style="42" customWidth="1"/>
    <col min="1805" max="1805" width="10.7109375" style="42" customWidth="1"/>
    <col min="1806" max="1806" width="11" style="42" customWidth="1"/>
    <col min="1807" max="1807" width="10" style="42" customWidth="1"/>
    <col min="1808" max="1808" width="10.42578125" style="42" customWidth="1"/>
    <col min="1809" max="1809" width="6.42578125" style="42" customWidth="1"/>
    <col min="1810" max="1810" width="8" style="42" customWidth="1"/>
    <col min="1811" max="1811" width="8.7109375" style="42" customWidth="1"/>
    <col min="1812" max="1812" width="8.28515625" style="42" customWidth="1"/>
    <col min="1813" max="2048" width="9.140625" style="42"/>
    <col min="2049" max="2049" width="3.28515625" style="42" customWidth="1"/>
    <col min="2050" max="2050" width="0.140625" style="42" customWidth="1"/>
    <col min="2051" max="2051" width="6.85546875" style="42" customWidth="1"/>
    <col min="2052" max="2052" width="9.140625" style="42" customWidth="1"/>
    <col min="2053" max="2053" width="13.140625" style="42" customWidth="1"/>
    <col min="2054" max="2054" width="8.140625" style="42" customWidth="1"/>
    <col min="2055" max="2055" width="16.28515625" style="42" customWidth="1"/>
    <col min="2056" max="2056" width="0" style="42" hidden="1" customWidth="1"/>
    <col min="2057" max="2057" width="10.42578125" style="42" customWidth="1"/>
    <col min="2058" max="2058" width="7.85546875" style="42" customWidth="1"/>
    <col min="2059" max="2059" width="11.28515625" style="42" customWidth="1"/>
    <col min="2060" max="2060" width="6.7109375" style="42" customWidth="1"/>
    <col min="2061" max="2061" width="10.7109375" style="42" customWidth="1"/>
    <col min="2062" max="2062" width="11" style="42" customWidth="1"/>
    <col min="2063" max="2063" width="10" style="42" customWidth="1"/>
    <col min="2064" max="2064" width="10.42578125" style="42" customWidth="1"/>
    <col min="2065" max="2065" width="6.42578125" style="42" customWidth="1"/>
    <col min="2066" max="2066" width="8" style="42" customWidth="1"/>
    <col min="2067" max="2067" width="8.7109375" style="42" customWidth="1"/>
    <col min="2068" max="2068" width="8.28515625" style="42" customWidth="1"/>
    <col min="2069" max="2304" width="9.140625" style="42"/>
    <col min="2305" max="2305" width="3.28515625" style="42" customWidth="1"/>
    <col min="2306" max="2306" width="0.140625" style="42" customWidth="1"/>
    <col min="2307" max="2307" width="6.85546875" style="42" customWidth="1"/>
    <col min="2308" max="2308" width="9.140625" style="42" customWidth="1"/>
    <col min="2309" max="2309" width="13.140625" style="42" customWidth="1"/>
    <col min="2310" max="2310" width="8.140625" style="42" customWidth="1"/>
    <col min="2311" max="2311" width="16.28515625" style="42" customWidth="1"/>
    <col min="2312" max="2312" width="0" style="42" hidden="1" customWidth="1"/>
    <col min="2313" max="2313" width="10.42578125" style="42" customWidth="1"/>
    <col min="2314" max="2314" width="7.85546875" style="42" customWidth="1"/>
    <col min="2315" max="2315" width="11.28515625" style="42" customWidth="1"/>
    <col min="2316" max="2316" width="6.7109375" style="42" customWidth="1"/>
    <col min="2317" max="2317" width="10.7109375" style="42" customWidth="1"/>
    <col min="2318" max="2318" width="11" style="42" customWidth="1"/>
    <col min="2319" max="2319" width="10" style="42" customWidth="1"/>
    <col min="2320" max="2320" width="10.42578125" style="42" customWidth="1"/>
    <col min="2321" max="2321" width="6.42578125" style="42" customWidth="1"/>
    <col min="2322" max="2322" width="8" style="42" customWidth="1"/>
    <col min="2323" max="2323" width="8.7109375" style="42" customWidth="1"/>
    <col min="2324" max="2324" width="8.28515625" style="42" customWidth="1"/>
    <col min="2325" max="2560" width="9.140625" style="42"/>
    <col min="2561" max="2561" width="3.28515625" style="42" customWidth="1"/>
    <col min="2562" max="2562" width="0.140625" style="42" customWidth="1"/>
    <col min="2563" max="2563" width="6.85546875" style="42" customWidth="1"/>
    <col min="2564" max="2564" width="9.140625" style="42" customWidth="1"/>
    <col min="2565" max="2565" width="13.140625" style="42" customWidth="1"/>
    <col min="2566" max="2566" width="8.140625" style="42" customWidth="1"/>
    <col min="2567" max="2567" width="16.28515625" style="42" customWidth="1"/>
    <col min="2568" max="2568" width="0" style="42" hidden="1" customWidth="1"/>
    <col min="2569" max="2569" width="10.42578125" style="42" customWidth="1"/>
    <col min="2570" max="2570" width="7.85546875" style="42" customWidth="1"/>
    <col min="2571" max="2571" width="11.28515625" style="42" customWidth="1"/>
    <col min="2572" max="2572" width="6.7109375" style="42" customWidth="1"/>
    <col min="2573" max="2573" width="10.7109375" style="42" customWidth="1"/>
    <col min="2574" max="2574" width="11" style="42" customWidth="1"/>
    <col min="2575" max="2575" width="10" style="42" customWidth="1"/>
    <col min="2576" max="2576" width="10.42578125" style="42" customWidth="1"/>
    <col min="2577" max="2577" width="6.42578125" style="42" customWidth="1"/>
    <col min="2578" max="2578" width="8" style="42" customWidth="1"/>
    <col min="2579" max="2579" width="8.7109375" style="42" customWidth="1"/>
    <col min="2580" max="2580" width="8.28515625" style="42" customWidth="1"/>
    <col min="2581" max="2816" width="9.140625" style="42"/>
    <col min="2817" max="2817" width="3.28515625" style="42" customWidth="1"/>
    <col min="2818" max="2818" width="0.140625" style="42" customWidth="1"/>
    <col min="2819" max="2819" width="6.85546875" style="42" customWidth="1"/>
    <col min="2820" max="2820" width="9.140625" style="42" customWidth="1"/>
    <col min="2821" max="2821" width="13.140625" style="42" customWidth="1"/>
    <col min="2822" max="2822" width="8.140625" style="42" customWidth="1"/>
    <col min="2823" max="2823" width="16.28515625" style="42" customWidth="1"/>
    <col min="2824" max="2824" width="0" style="42" hidden="1" customWidth="1"/>
    <col min="2825" max="2825" width="10.42578125" style="42" customWidth="1"/>
    <col min="2826" max="2826" width="7.85546875" style="42" customWidth="1"/>
    <col min="2827" max="2827" width="11.28515625" style="42" customWidth="1"/>
    <col min="2828" max="2828" width="6.7109375" style="42" customWidth="1"/>
    <col min="2829" max="2829" width="10.7109375" style="42" customWidth="1"/>
    <col min="2830" max="2830" width="11" style="42" customWidth="1"/>
    <col min="2831" max="2831" width="10" style="42" customWidth="1"/>
    <col min="2832" max="2832" width="10.42578125" style="42" customWidth="1"/>
    <col min="2833" max="2833" width="6.42578125" style="42" customWidth="1"/>
    <col min="2834" max="2834" width="8" style="42" customWidth="1"/>
    <col min="2835" max="2835" width="8.7109375" style="42" customWidth="1"/>
    <col min="2836" max="2836" width="8.28515625" style="42" customWidth="1"/>
    <col min="2837" max="3072" width="9.140625" style="42"/>
    <col min="3073" max="3073" width="3.28515625" style="42" customWidth="1"/>
    <col min="3074" max="3074" width="0.140625" style="42" customWidth="1"/>
    <col min="3075" max="3075" width="6.85546875" style="42" customWidth="1"/>
    <col min="3076" max="3076" width="9.140625" style="42" customWidth="1"/>
    <col min="3077" max="3077" width="13.140625" style="42" customWidth="1"/>
    <col min="3078" max="3078" width="8.140625" style="42" customWidth="1"/>
    <col min="3079" max="3079" width="16.28515625" style="42" customWidth="1"/>
    <col min="3080" max="3080" width="0" style="42" hidden="1" customWidth="1"/>
    <col min="3081" max="3081" width="10.42578125" style="42" customWidth="1"/>
    <col min="3082" max="3082" width="7.85546875" style="42" customWidth="1"/>
    <col min="3083" max="3083" width="11.28515625" style="42" customWidth="1"/>
    <col min="3084" max="3084" width="6.7109375" style="42" customWidth="1"/>
    <col min="3085" max="3085" width="10.7109375" style="42" customWidth="1"/>
    <col min="3086" max="3086" width="11" style="42" customWidth="1"/>
    <col min="3087" max="3087" width="10" style="42" customWidth="1"/>
    <col min="3088" max="3088" width="10.42578125" style="42" customWidth="1"/>
    <col min="3089" max="3089" width="6.42578125" style="42" customWidth="1"/>
    <col min="3090" max="3090" width="8" style="42" customWidth="1"/>
    <col min="3091" max="3091" width="8.7109375" style="42" customWidth="1"/>
    <col min="3092" max="3092" width="8.28515625" style="42" customWidth="1"/>
    <col min="3093" max="3328" width="9.140625" style="42"/>
    <col min="3329" max="3329" width="3.28515625" style="42" customWidth="1"/>
    <col min="3330" max="3330" width="0.140625" style="42" customWidth="1"/>
    <col min="3331" max="3331" width="6.85546875" style="42" customWidth="1"/>
    <col min="3332" max="3332" width="9.140625" style="42" customWidth="1"/>
    <col min="3333" max="3333" width="13.140625" style="42" customWidth="1"/>
    <col min="3334" max="3334" width="8.140625" style="42" customWidth="1"/>
    <col min="3335" max="3335" width="16.28515625" style="42" customWidth="1"/>
    <col min="3336" max="3336" width="0" style="42" hidden="1" customWidth="1"/>
    <col min="3337" max="3337" width="10.42578125" style="42" customWidth="1"/>
    <col min="3338" max="3338" width="7.85546875" style="42" customWidth="1"/>
    <col min="3339" max="3339" width="11.28515625" style="42" customWidth="1"/>
    <col min="3340" max="3340" width="6.7109375" style="42" customWidth="1"/>
    <col min="3341" max="3341" width="10.7109375" style="42" customWidth="1"/>
    <col min="3342" max="3342" width="11" style="42" customWidth="1"/>
    <col min="3343" max="3343" width="10" style="42" customWidth="1"/>
    <col min="3344" max="3344" width="10.42578125" style="42" customWidth="1"/>
    <col min="3345" max="3345" width="6.42578125" style="42" customWidth="1"/>
    <col min="3346" max="3346" width="8" style="42" customWidth="1"/>
    <col min="3347" max="3347" width="8.7109375" style="42" customWidth="1"/>
    <col min="3348" max="3348" width="8.28515625" style="42" customWidth="1"/>
    <col min="3349" max="3584" width="9.140625" style="42"/>
    <col min="3585" max="3585" width="3.28515625" style="42" customWidth="1"/>
    <col min="3586" max="3586" width="0.140625" style="42" customWidth="1"/>
    <col min="3587" max="3587" width="6.85546875" style="42" customWidth="1"/>
    <col min="3588" max="3588" width="9.140625" style="42" customWidth="1"/>
    <col min="3589" max="3589" width="13.140625" style="42" customWidth="1"/>
    <col min="3590" max="3590" width="8.140625" style="42" customWidth="1"/>
    <col min="3591" max="3591" width="16.28515625" style="42" customWidth="1"/>
    <col min="3592" max="3592" width="0" style="42" hidden="1" customWidth="1"/>
    <col min="3593" max="3593" width="10.42578125" style="42" customWidth="1"/>
    <col min="3594" max="3594" width="7.85546875" style="42" customWidth="1"/>
    <col min="3595" max="3595" width="11.28515625" style="42" customWidth="1"/>
    <col min="3596" max="3596" width="6.7109375" style="42" customWidth="1"/>
    <col min="3597" max="3597" width="10.7109375" style="42" customWidth="1"/>
    <col min="3598" max="3598" width="11" style="42" customWidth="1"/>
    <col min="3599" max="3599" width="10" style="42" customWidth="1"/>
    <col min="3600" max="3600" width="10.42578125" style="42" customWidth="1"/>
    <col min="3601" max="3601" width="6.42578125" style="42" customWidth="1"/>
    <col min="3602" max="3602" width="8" style="42" customWidth="1"/>
    <col min="3603" max="3603" width="8.7109375" style="42" customWidth="1"/>
    <col min="3604" max="3604" width="8.28515625" style="42" customWidth="1"/>
    <col min="3605" max="3840" width="9.140625" style="42"/>
    <col min="3841" max="3841" width="3.28515625" style="42" customWidth="1"/>
    <col min="3842" max="3842" width="0.140625" style="42" customWidth="1"/>
    <col min="3843" max="3843" width="6.85546875" style="42" customWidth="1"/>
    <col min="3844" max="3844" width="9.140625" style="42" customWidth="1"/>
    <col min="3845" max="3845" width="13.140625" style="42" customWidth="1"/>
    <col min="3846" max="3846" width="8.140625" style="42" customWidth="1"/>
    <col min="3847" max="3847" width="16.28515625" style="42" customWidth="1"/>
    <col min="3848" max="3848" width="0" style="42" hidden="1" customWidth="1"/>
    <col min="3849" max="3849" width="10.42578125" style="42" customWidth="1"/>
    <col min="3850" max="3850" width="7.85546875" style="42" customWidth="1"/>
    <col min="3851" max="3851" width="11.28515625" style="42" customWidth="1"/>
    <col min="3852" max="3852" width="6.7109375" style="42" customWidth="1"/>
    <col min="3853" max="3853" width="10.7109375" style="42" customWidth="1"/>
    <col min="3854" max="3854" width="11" style="42" customWidth="1"/>
    <col min="3855" max="3855" width="10" style="42" customWidth="1"/>
    <col min="3856" max="3856" width="10.42578125" style="42" customWidth="1"/>
    <col min="3857" max="3857" width="6.42578125" style="42" customWidth="1"/>
    <col min="3858" max="3858" width="8" style="42" customWidth="1"/>
    <col min="3859" max="3859" width="8.7109375" style="42" customWidth="1"/>
    <col min="3860" max="3860" width="8.28515625" style="42" customWidth="1"/>
    <col min="3861" max="4096" width="9.140625" style="42"/>
    <col min="4097" max="4097" width="3.28515625" style="42" customWidth="1"/>
    <col min="4098" max="4098" width="0.140625" style="42" customWidth="1"/>
    <col min="4099" max="4099" width="6.85546875" style="42" customWidth="1"/>
    <col min="4100" max="4100" width="9.140625" style="42" customWidth="1"/>
    <col min="4101" max="4101" width="13.140625" style="42" customWidth="1"/>
    <col min="4102" max="4102" width="8.140625" style="42" customWidth="1"/>
    <col min="4103" max="4103" width="16.28515625" style="42" customWidth="1"/>
    <col min="4104" max="4104" width="0" style="42" hidden="1" customWidth="1"/>
    <col min="4105" max="4105" width="10.42578125" style="42" customWidth="1"/>
    <col min="4106" max="4106" width="7.85546875" style="42" customWidth="1"/>
    <col min="4107" max="4107" width="11.28515625" style="42" customWidth="1"/>
    <col min="4108" max="4108" width="6.7109375" style="42" customWidth="1"/>
    <col min="4109" max="4109" width="10.7109375" style="42" customWidth="1"/>
    <col min="4110" max="4110" width="11" style="42" customWidth="1"/>
    <col min="4111" max="4111" width="10" style="42" customWidth="1"/>
    <col min="4112" max="4112" width="10.42578125" style="42" customWidth="1"/>
    <col min="4113" max="4113" width="6.42578125" style="42" customWidth="1"/>
    <col min="4114" max="4114" width="8" style="42" customWidth="1"/>
    <col min="4115" max="4115" width="8.7109375" style="42" customWidth="1"/>
    <col min="4116" max="4116" width="8.28515625" style="42" customWidth="1"/>
    <col min="4117" max="4352" width="9.140625" style="42"/>
    <col min="4353" max="4353" width="3.28515625" style="42" customWidth="1"/>
    <col min="4354" max="4354" width="0.140625" style="42" customWidth="1"/>
    <col min="4355" max="4355" width="6.85546875" style="42" customWidth="1"/>
    <col min="4356" max="4356" width="9.140625" style="42" customWidth="1"/>
    <col min="4357" max="4357" width="13.140625" style="42" customWidth="1"/>
    <col min="4358" max="4358" width="8.140625" style="42" customWidth="1"/>
    <col min="4359" max="4359" width="16.28515625" style="42" customWidth="1"/>
    <col min="4360" max="4360" width="0" style="42" hidden="1" customWidth="1"/>
    <col min="4361" max="4361" width="10.42578125" style="42" customWidth="1"/>
    <col min="4362" max="4362" width="7.85546875" style="42" customWidth="1"/>
    <col min="4363" max="4363" width="11.28515625" style="42" customWidth="1"/>
    <col min="4364" max="4364" width="6.7109375" style="42" customWidth="1"/>
    <col min="4365" max="4365" width="10.7109375" style="42" customWidth="1"/>
    <col min="4366" max="4366" width="11" style="42" customWidth="1"/>
    <col min="4367" max="4367" width="10" style="42" customWidth="1"/>
    <col min="4368" max="4368" width="10.42578125" style="42" customWidth="1"/>
    <col min="4369" max="4369" width="6.42578125" style="42" customWidth="1"/>
    <col min="4370" max="4370" width="8" style="42" customWidth="1"/>
    <col min="4371" max="4371" width="8.7109375" style="42" customWidth="1"/>
    <col min="4372" max="4372" width="8.28515625" style="42" customWidth="1"/>
    <col min="4373" max="4608" width="9.140625" style="42"/>
    <col min="4609" max="4609" width="3.28515625" style="42" customWidth="1"/>
    <col min="4610" max="4610" width="0.140625" style="42" customWidth="1"/>
    <col min="4611" max="4611" width="6.85546875" style="42" customWidth="1"/>
    <col min="4612" max="4612" width="9.140625" style="42" customWidth="1"/>
    <col min="4613" max="4613" width="13.140625" style="42" customWidth="1"/>
    <col min="4614" max="4614" width="8.140625" style="42" customWidth="1"/>
    <col min="4615" max="4615" width="16.28515625" style="42" customWidth="1"/>
    <col min="4616" max="4616" width="0" style="42" hidden="1" customWidth="1"/>
    <col min="4617" max="4617" width="10.42578125" style="42" customWidth="1"/>
    <col min="4618" max="4618" width="7.85546875" style="42" customWidth="1"/>
    <col min="4619" max="4619" width="11.28515625" style="42" customWidth="1"/>
    <col min="4620" max="4620" width="6.7109375" style="42" customWidth="1"/>
    <col min="4621" max="4621" width="10.7109375" style="42" customWidth="1"/>
    <col min="4622" max="4622" width="11" style="42" customWidth="1"/>
    <col min="4623" max="4623" width="10" style="42" customWidth="1"/>
    <col min="4624" max="4624" width="10.42578125" style="42" customWidth="1"/>
    <col min="4625" max="4625" width="6.42578125" style="42" customWidth="1"/>
    <col min="4626" max="4626" width="8" style="42" customWidth="1"/>
    <col min="4627" max="4627" width="8.7109375" style="42" customWidth="1"/>
    <col min="4628" max="4628" width="8.28515625" style="42" customWidth="1"/>
    <col min="4629" max="4864" width="9.140625" style="42"/>
    <col min="4865" max="4865" width="3.28515625" style="42" customWidth="1"/>
    <col min="4866" max="4866" width="0.140625" style="42" customWidth="1"/>
    <col min="4867" max="4867" width="6.85546875" style="42" customWidth="1"/>
    <col min="4868" max="4868" width="9.140625" style="42" customWidth="1"/>
    <col min="4869" max="4869" width="13.140625" style="42" customWidth="1"/>
    <col min="4870" max="4870" width="8.140625" style="42" customWidth="1"/>
    <col min="4871" max="4871" width="16.28515625" style="42" customWidth="1"/>
    <col min="4872" max="4872" width="0" style="42" hidden="1" customWidth="1"/>
    <col min="4873" max="4873" width="10.42578125" style="42" customWidth="1"/>
    <col min="4874" max="4874" width="7.85546875" style="42" customWidth="1"/>
    <col min="4875" max="4875" width="11.28515625" style="42" customWidth="1"/>
    <col min="4876" max="4876" width="6.7109375" style="42" customWidth="1"/>
    <col min="4877" max="4877" width="10.7109375" style="42" customWidth="1"/>
    <col min="4878" max="4878" width="11" style="42" customWidth="1"/>
    <col min="4879" max="4879" width="10" style="42" customWidth="1"/>
    <col min="4880" max="4880" width="10.42578125" style="42" customWidth="1"/>
    <col min="4881" max="4881" width="6.42578125" style="42" customWidth="1"/>
    <col min="4882" max="4882" width="8" style="42" customWidth="1"/>
    <col min="4883" max="4883" width="8.7109375" style="42" customWidth="1"/>
    <col min="4884" max="4884" width="8.28515625" style="42" customWidth="1"/>
    <col min="4885" max="5120" width="9.140625" style="42"/>
    <col min="5121" max="5121" width="3.28515625" style="42" customWidth="1"/>
    <col min="5122" max="5122" width="0.140625" style="42" customWidth="1"/>
    <col min="5123" max="5123" width="6.85546875" style="42" customWidth="1"/>
    <col min="5124" max="5124" width="9.140625" style="42" customWidth="1"/>
    <col min="5125" max="5125" width="13.140625" style="42" customWidth="1"/>
    <col min="5126" max="5126" width="8.140625" style="42" customWidth="1"/>
    <col min="5127" max="5127" width="16.28515625" style="42" customWidth="1"/>
    <col min="5128" max="5128" width="0" style="42" hidden="1" customWidth="1"/>
    <col min="5129" max="5129" width="10.42578125" style="42" customWidth="1"/>
    <col min="5130" max="5130" width="7.85546875" style="42" customWidth="1"/>
    <col min="5131" max="5131" width="11.28515625" style="42" customWidth="1"/>
    <col min="5132" max="5132" width="6.7109375" style="42" customWidth="1"/>
    <col min="5133" max="5133" width="10.7109375" style="42" customWidth="1"/>
    <col min="5134" max="5134" width="11" style="42" customWidth="1"/>
    <col min="5135" max="5135" width="10" style="42" customWidth="1"/>
    <col min="5136" max="5136" width="10.42578125" style="42" customWidth="1"/>
    <col min="5137" max="5137" width="6.42578125" style="42" customWidth="1"/>
    <col min="5138" max="5138" width="8" style="42" customWidth="1"/>
    <col min="5139" max="5139" width="8.7109375" style="42" customWidth="1"/>
    <col min="5140" max="5140" width="8.28515625" style="42" customWidth="1"/>
    <col min="5141" max="5376" width="9.140625" style="42"/>
    <col min="5377" max="5377" width="3.28515625" style="42" customWidth="1"/>
    <col min="5378" max="5378" width="0.140625" style="42" customWidth="1"/>
    <col min="5379" max="5379" width="6.85546875" style="42" customWidth="1"/>
    <col min="5380" max="5380" width="9.140625" style="42" customWidth="1"/>
    <col min="5381" max="5381" width="13.140625" style="42" customWidth="1"/>
    <col min="5382" max="5382" width="8.140625" style="42" customWidth="1"/>
    <col min="5383" max="5383" width="16.28515625" style="42" customWidth="1"/>
    <col min="5384" max="5384" width="0" style="42" hidden="1" customWidth="1"/>
    <col min="5385" max="5385" width="10.42578125" style="42" customWidth="1"/>
    <col min="5386" max="5386" width="7.85546875" style="42" customWidth="1"/>
    <col min="5387" max="5387" width="11.28515625" style="42" customWidth="1"/>
    <col min="5388" max="5388" width="6.7109375" style="42" customWidth="1"/>
    <col min="5389" max="5389" width="10.7109375" style="42" customWidth="1"/>
    <col min="5390" max="5390" width="11" style="42" customWidth="1"/>
    <col min="5391" max="5391" width="10" style="42" customWidth="1"/>
    <col min="5392" max="5392" width="10.42578125" style="42" customWidth="1"/>
    <col min="5393" max="5393" width="6.42578125" style="42" customWidth="1"/>
    <col min="5394" max="5394" width="8" style="42" customWidth="1"/>
    <col min="5395" max="5395" width="8.7109375" style="42" customWidth="1"/>
    <col min="5396" max="5396" width="8.28515625" style="42" customWidth="1"/>
    <col min="5397" max="5632" width="9.140625" style="42"/>
    <col min="5633" max="5633" width="3.28515625" style="42" customWidth="1"/>
    <col min="5634" max="5634" width="0.140625" style="42" customWidth="1"/>
    <col min="5635" max="5635" width="6.85546875" style="42" customWidth="1"/>
    <col min="5636" max="5636" width="9.140625" style="42" customWidth="1"/>
    <col min="5637" max="5637" width="13.140625" style="42" customWidth="1"/>
    <col min="5638" max="5638" width="8.140625" style="42" customWidth="1"/>
    <col min="5639" max="5639" width="16.28515625" style="42" customWidth="1"/>
    <col min="5640" max="5640" width="0" style="42" hidden="1" customWidth="1"/>
    <col min="5641" max="5641" width="10.42578125" style="42" customWidth="1"/>
    <col min="5642" max="5642" width="7.85546875" style="42" customWidth="1"/>
    <col min="5643" max="5643" width="11.28515625" style="42" customWidth="1"/>
    <col min="5644" max="5644" width="6.7109375" style="42" customWidth="1"/>
    <col min="5645" max="5645" width="10.7109375" style="42" customWidth="1"/>
    <col min="5646" max="5646" width="11" style="42" customWidth="1"/>
    <col min="5647" max="5647" width="10" style="42" customWidth="1"/>
    <col min="5648" max="5648" width="10.42578125" style="42" customWidth="1"/>
    <col min="5649" max="5649" width="6.42578125" style="42" customWidth="1"/>
    <col min="5650" max="5650" width="8" style="42" customWidth="1"/>
    <col min="5651" max="5651" width="8.7109375" style="42" customWidth="1"/>
    <col min="5652" max="5652" width="8.28515625" style="42" customWidth="1"/>
    <col min="5653" max="5888" width="9.140625" style="42"/>
    <col min="5889" max="5889" width="3.28515625" style="42" customWidth="1"/>
    <col min="5890" max="5890" width="0.140625" style="42" customWidth="1"/>
    <col min="5891" max="5891" width="6.85546875" style="42" customWidth="1"/>
    <col min="5892" max="5892" width="9.140625" style="42" customWidth="1"/>
    <col min="5893" max="5893" width="13.140625" style="42" customWidth="1"/>
    <col min="5894" max="5894" width="8.140625" style="42" customWidth="1"/>
    <col min="5895" max="5895" width="16.28515625" style="42" customWidth="1"/>
    <col min="5896" max="5896" width="0" style="42" hidden="1" customWidth="1"/>
    <col min="5897" max="5897" width="10.42578125" style="42" customWidth="1"/>
    <col min="5898" max="5898" width="7.85546875" style="42" customWidth="1"/>
    <col min="5899" max="5899" width="11.28515625" style="42" customWidth="1"/>
    <col min="5900" max="5900" width="6.7109375" style="42" customWidth="1"/>
    <col min="5901" max="5901" width="10.7109375" style="42" customWidth="1"/>
    <col min="5902" max="5902" width="11" style="42" customWidth="1"/>
    <col min="5903" max="5903" width="10" style="42" customWidth="1"/>
    <col min="5904" max="5904" width="10.42578125" style="42" customWidth="1"/>
    <col min="5905" max="5905" width="6.42578125" style="42" customWidth="1"/>
    <col min="5906" max="5906" width="8" style="42" customWidth="1"/>
    <col min="5907" max="5907" width="8.7109375" style="42" customWidth="1"/>
    <col min="5908" max="5908" width="8.28515625" style="42" customWidth="1"/>
    <col min="5909" max="6144" width="9.140625" style="42"/>
    <col min="6145" max="6145" width="3.28515625" style="42" customWidth="1"/>
    <col min="6146" max="6146" width="0.140625" style="42" customWidth="1"/>
    <col min="6147" max="6147" width="6.85546875" style="42" customWidth="1"/>
    <col min="6148" max="6148" width="9.140625" style="42" customWidth="1"/>
    <col min="6149" max="6149" width="13.140625" style="42" customWidth="1"/>
    <col min="6150" max="6150" width="8.140625" style="42" customWidth="1"/>
    <col min="6151" max="6151" width="16.28515625" style="42" customWidth="1"/>
    <col min="6152" max="6152" width="0" style="42" hidden="1" customWidth="1"/>
    <col min="6153" max="6153" width="10.42578125" style="42" customWidth="1"/>
    <col min="6154" max="6154" width="7.85546875" style="42" customWidth="1"/>
    <col min="6155" max="6155" width="11.28515625" style="42" customWidth="1"/>
    <col min="6156" max="6156" width="6.7109375" style="42" customWidth="1"/>
    <col min="6157" max="6157" width="10.7109375" style="42" customWidth="1"/>
    <col min="6158" max="6158" width="11" style="42" customWidth="1"/>
    <col min="6159" max="6159" width="10" style="42" customWidth="1"/>
    <col min="6160" max="6160" width="10.42578125" style="42" customWidth="1"/>
    <col min="6161" max="6161" width="6.42578125" style="42" customWidth="1"/>
    <col min="6162" max="6162" width="8" style="42" customWidth="1"/>
    <col min="6163" max="6163" width="8.7109375" style="42" customWidth="1"/>
    <col min="6164" max="6164" width="8.28515625" style="42" customWidth="1"/>
    <col min="6165" max="6400" width="9.140625" style="42"/>
    <col min="6401" max="6401" width="3.28515625" style="42" customWidth="1"/>
    <col min="6402" max="6402" width="0.140625" style="42" customWidth="1"/>
    <col min="6403" max="6403" width="6.85546875" style="42" customWidth="1"/>
    <col min="6404" max="6404" width="9.140625" style="42" customWidth="1"/>
    <col min="6405" max="6405" width="13.140625" style="42" customWidth="1"/>
    <col min="6406" max="6406" width="8.140625" style="42" customWidth="1"/>
    <col min="6407" max="6407" width="16.28515625" style="42" customWidth="1"/>
    <col min="6408" max="6408" width="0" style="42" hidden="1" customWidth="1"/>
    <col min="6409" max="6409" width="10.42578125" style="42" customWidth="1"/>
    <col min="6410" max="6410" width="7.85546875" style="42" customWidth="1"/>
    <col min="6411" max="6411" width="11.28515625" style="42" customWidth="1"/>
    <col min="6412" max="6412" width="6.7109375" style="42" customWidth="1"/>
    <col min="6413" max="6413" width="10.7109375" style="42" customWidth="1"/>
    <col min="6414" max="6414" width="11" style="42" customWidth="1"/>
    <col min="6415" max="6415" width="10" style="42" customWidth="1"/>
    <col min="6416" max="6416" width="10.42578125" style="42" customWidth="1"/>
    <col min="6417" max="6417" width="6.42578125" style="42" customWidth="1"/>
    <col min="6418" max="6418" width="8" style="42" customWidth="1"/>
    <col min="6419" max="6419" width="8.7109375" style="42" customWidth="1"/>
    <col min="6420" max="6420" width="8.28515625" style="42" customWidth="1"/>
    <col min="6421" max="6656" width="9.140625" style="42"/>
    <col min="6657" max="6657" width="3.28515625" style="42" customWidth="1"/>
    <col min="6658" max="6658" width="0.140625" style="42" customWidth="1"/>
    <col min="6659" max="6659" width="6.85546875" style="42" customWidth="1"/>
    <col min="6660" max="6660" width="9.140625" style="42" customWidth="1"/>
    <col min="6661" max="6661" width="13.140625" style="42" customWidth="1"/>
    <col min="6662" max="6662" width="8.140625" style="42" customWidth="1"/>
    <col min="6663" max="6663" width="16.28515625" style="42" customWidth="1"/>
    <col min="6664" max="6664" width="0" style="42" hidden="1" customWidth="1"/>
    <col min="6665" max="6665" width="10.42578125" style="42" customWidth="1"/>
    <col min="6666" max="6666" width="7.85546875" style="42" customWidth="1"/>
    <col min="6667" max="6667" width="11.28515625" style="42" customWidth="1"/>
    <col min="6668" max="6668" width="6.7109375" style="42" customWidth="1"/>
    <col min="6669" max="6669" width="10.7109375" style="42" customWidth="1"/>
    <col min="6670" max="6670" width="11" style="42" customWidth="1"/>
    <col min="6671" max="6671" width="10" style="42" customWidth="1"/>
    <col min="6672" max="6672" width="10.42578125" style="42" customWidth="1"/>
    <col min="6673" max="6673" width="6.42578125" style="42" customWidth="1"/>
    <col min="6674" max="6674" width="8" style="42" customWidth="1"/>
    <col min="6675" max="6675" width="8.7109375" style="42" customWidth="1"/>
    <col min="6676" max="6676" width="8.28515625" style="42" customWidth="1"/>
    <col min="6677" max="6912" width="9.140625" style="42"/>
    <col min="6913" max="6913" width="3.28515625" style="42" customWidth="1"/>
    <col min="6914" max="6914" width="0.140625" style="42" customWidth="1"/>
    <col min="6915" max="6915" width="6.85546875" style="42" customWidth="1"/>
    <col min="6916" max="6916" width="9.140625" style="42" customWidth="1"/>
    <col min="6917" max="6917" width="13.140625" style="42" customWidth="1"/>
    <col min="6918" max="6918" width="8.140625" style="42" customWidth="1"/>
    <col min="6919" max="6919" width="16.28515625" style="42" customWidth="1"/>
    <col min="6920" max="6920" width="0" style="42" hidden="1" customWidth="1"/>
    <col min="6921" max="6921" width="10.42578125" style="42" customWidth="1"/>
    <col min="6922" max="6922" width="7.85546875" style="42" customWidth="1"/>
    <col min="6923" max="6923" width="11.28515625" style="42" customWidth="1"/>
    <col min="6924" max="6924" width="6.7109375" style="42" customWidth="1"/>
    <col min="6925" max="6925" width="10.7109375" style="42" customWidth="1"/>
    <col min="6926" max="6926" width="11" style="42" customWidth="1"/>
    <col min="6927" max="6927" width="10" style="42" customWidth="1"/>
    <col min="6928" max="6928" width="10.42578125" style="42" customWidth="1"/>
    <col min="6929" max="6929" width="6.42578125" style="42" customWidth="1"/>
    <col min="6930" max="6930" width="8" style="42" customWidth="1"/>
    <col min="6931" max="6931" width="8.7109375" style="42" customWidth="1"/>
    <col min="6932" max="6932" width="8.28515625" style="42" customWidth="1"/>
    <col min="6933" max="7168" width="9.140625" style="42"/>
    <col min="7169" max="7169" width="3.28515625" style="42" customWidth="1"/>
    <col min="7170" max="7170" width="0.140625" style="42" customWidth="1"/>
    <col min="7171" max="7171" width="6.85546875" style="42" customWidth="1"/>
    <col min="7172" max="7172" width="9.140625" style="42" customWidth="1"/>
    <col min="7173" max="7173" width="13.140625" style="42" customWidth="1"/>
    <col min="7174" max="7174" width="8.140625" style="42" customWidth="1"/>
    <col min="7175" max="7175" width="16.28515625" style="42" customWidth="1"/>
    <col min="7176" max="7176" width="0" style="42" hidden="1" customWidth="1"/>
    <col min="7177" max="7177" width="10.42578125" style="42" customWidth="1"/>
    <col min="7178" max="7178" width="7.85546875" style="42" customWidth="1"/>
    <col min="7179" max="7179" width="11.28515625" style="42" customWidth="1"/>
    <col min="7180" max="7180" width="6.7109375" style="42" customWidth="1"/>
    <col min="7181" max="7181" width="10.7109375" style="42" customWidth="1"/>
    <col min="7182" max="7182" width="11" style="42" customWidth="1"/>
    <col min="7183" max="7183" width="10" style="42" customWidth="1"/>
    <col min="7184" max="7184" width="10.42578125" style="42" customWidth="1"/>
    <col min="7185" max="7185" width="6.42578125" style="42" customWidth="1"/>
    <col min="7186" max="7186" width="8" style="42" customWidth="1"/>
    <col min="7187" max="7187" width="8.7109375" style="42" customWidth="1"/>
    <col min="7188" max="7188" width="8.28515625" style="42" customWidth="1"/>
    <col min="7189" max="7424" width="9.140625" style="42"/>
    <col min="7425" max="7425" width="3.28515625" style="42" customWidth="1"/>
    <col min="7426" max="7426" width="0.140625" style="42" customWidth="1"/>
    <col min="7427" max="7427" width="6.85546875" style="42" customWidth="1"/>
    <col min="7428" max="7428" width="9.140625" style="42" customWidth="1"/>
    <col min="7429" max="7429" width="13.140625" style="42" customWidth="1"/>
    <col min="7430" max="7430" width="8.140625" style="42" customWidth="1"/>
    <col min="7431" max="7431" width="16.28515625" style="42" customWidth="1"/>
    <col min="7432" max="7432" width="0" style="42" hidden="1" customWidth="1"/>
    <col min="7433" max="7433" width="10.42578125" style="42" customWidth="1"/>
    <col min="7434" max="7434" width="7.85546875" style="42" customWidth="1"/>
    <col min="7435" max="7435" width="11.28515625" style="42" customWidth="1"/>
    <col min="7436" max="7436" width="6.7109375" style="42" customWidth="1"/>
    <col min="7437" max="7437" width="10.7109375" style="42" customWidth="1"/>
    <col min="7438" max="7438" width="11" style="42" customWidth="1"/>
    <col min="7439" max="7439" width="10" style="42" customWidth="1"/>
    <col min="7440" max="7440" width="10.42578125" style="42" customWidth="1"/>
    <col min="7441" max="7441" width="6.42578125" style="42" customWidth="1"/>
    <col min="7442" max="7442" width="8" style="42" customWidth="1"/>
    <col min="7443" max="7443" width="8.7109375" style="42" customWidth="1"/>
    <col min="7444" max="7444" width="8.28515625" style="42" customWidth="1"/>
    <col min="7445" max="7680" width="9.140625" style="42"/>
    <col min="7681" max="7681" width="3.28515625" style="42" customWidth="1"/>
    <col min="7682" max="7682" width="0.140625" style="42" customWidth="1"/>
    <col min="7683" max="7683" width="6.85546875" style="42" customWidth="1"/>
    <col min="7684" max="7684" width="9.140625" style="42" customWidth="1"/>
    <col min="7685" max="7685" width="13.140625" style="42" customWidth="1"/>
    <col min="7686" max="7686" width="8.140625" style="42" customWidth="1"/>
    <col min="7687" max="7687" width="16.28515625" style="42" customWidth="1"/>
    <col min="7688" max="7688" width="0" style="42" hidden="1" customWidth="1"/>
    <col min="7689" max="7689" width="10.42578125" style="42" customWidth="1"/>
    <col min="7690" max="7690" width="7.85546875" style="42" customWidth="1"/>
    <col min="7691" max="7691" width="11.28515625" style="42" customWidth="1"/>
    <col min="7692" max="7692" width="6.7109375" style="42" customWidth="1"/>
    <col min="7693" max="7693" width="10.7109375" style="42" customWidth="1"/>
    <col min="7694" max="7694" width="11" style="42" customWidth="1"/>
    <col min="7695" max="7695" width="10" style="42" customWidth="1"/>
    <col min="7696" max="7696" width="10.42578125" style="42" customWidth="1"/>
    <col min="7697" max="7697" width="6.42578125" style="42" customWidth="1"/>
    <col min="7698" max="7698" width="8" style="42" customWidth="1"/>
    <col min="7699" max="7699" width="8.7109375" style="42" customWidth="1"/>
    <col min="7700" max="7700" width="8.28515625" style="42" customWidth="1"/>
    <col min="7701" max="7936" width="9.140625" style="42"/>
    <col min="7937" max="7937" width="3.28515625" style="42" customWidth="1"/>
    <col min="7938" max="7938" width="0.140625" style="42" customWidth="1"/>
    <col min="7939" max="7939" width="6.85546875" style="42" customWidth="1"/>
    <col min="7940" max="7940" width="9.140625" style="42" customWidth="1"/>
    <col min="7941" max="7941" width="13.140625" style="42" customWidth="1"/>
    <col min="7942" max="7942" width="8.140625" style="42" customWidth="1"/>
    <col min="7943" max="7943" width="16.28515625" style="42" customWidth="1"/>
    <col min="7944" max="7944" width="0" style="42" hidden="1" customWidth="1"/>
    <col min="7945" max="7945" width="10.42578125" style="42" customWidth="1"/>
    <col min="7946" max="7946" width="7.85546875" style="42" customWidth="1"/>
    <col min="7947" max="7947" width="11.28515625" style="42" customWidth="1"/>
    <col min="7948" max="7948" width="6.7109375" style="42" customWidth="1"/>
    <col min="7949" max="7949" width="10.7109375" style="42" customWidth="1"/>
    <col min="7950" max="7950" width="11" style="42" customWidth="1"/>
    <col min="7951" max="7951" width="10" style="42" customWidth="1"/>
    <col min="7952" max="7952" width="10.42578125" style="42" customWidth="1"/>
    <col min="7953" max="7953" width="6.42578125" style="42" customWidth="1"/>
    <col min="7954" max="7954" width="8" style="42" customWidth="1"/>
    <col min="7955" max="7955" width="8.7109375" style="42" customWidth="1"/>
    <col min="7956" max="7956" width="8.28515625" style="42" customWidth="1"/>
    <col min="7957" max="8192" width="9.140625" style="42"/>
    <col min="8193" max="8193" width="3.28515625" style="42" customWidth="1"/>
    <col min="8194" max="8194" width="0.140625" style="42" customWidth="1"/>
    <col min="8195" max="8195" width="6.85546875" style="42" customWidth="1"/>
    <col min="8196" max="8196" width="9.140625" style="42" customWidth="1"/>
    <col min="8197" max="8197" width="13.140625" style="42" customWidth="1"/>
    <col min="8198" max="8198" width="8.140625" style="42" customWidth="1"/>
    <col min="8199" max="8199" width="16.28515625" style="42" customWidth="1"/>
    <col min="8200" max="8200" width="0" style="42" hidden="1" customWidth="1"/>
    <col min="8201" max="8201" width="10.42578125" style="42" customWidth="1"/>
    <col min="8202" max="8202" width="7.85546875" style="42" customWidth="1"/>
    <col min="8203" max="8203" width="11.28515625" style="42" customWidth="1"/>
    <col min="8204" max="8204" width="6.7109375" style="42" customWidth="1"/>
    <col min="8205" max="8205" width="10.7109375" style="42" customWidth="1"/>
    <col min="8206" max="8206" width="11" style="42" customWidth="1"/>
    <col min="8207" max="8207" width="10" style="42" customWidth="1"/>
    <col min="8208" max="8208" width="10.42578125" style="42" customWidth="1"/>
    <col min="8209" max="8209" width="6.42578125" style="42" customWidth="1"/>
    <col min="8210" max="8210" width="8" style="42" customWidth="1"/>
    <col min="8211" max="8211" width="8.7109375" style="42" customWidth="1"/>
    <col min="8212" max="8212" width="8.28515625" style="42" customWidth="1"/>
    <col min="8213" max="8448" width="9.140625" style="42"/>
    <col min="8449" max="8449" width="3.28515625" style="42" customWidth="1"/>
    <col min="8450" max="8450" width="0.140625" style="42" customWidth="1"/>
    <col min="8451" max="8451" width="6.85546875" style="42" customWidth="1"/>
    <col min="8452" max="8452" width="9.140625" style="42" customWidth="1"/>
    <col min="8453" max="8453" width="13.140625" style="42" customWidth="1"/>
    <col min="8454" max="8454" width="8.140625" style="42" customWidth="1"/>
    <col min="8455" max="8455" width="16.28515625" style="42" customWidth="1"/>
    <col min="8456" max="8456" width="0" style="42" hidden="1" customWidth="1"/>
    <col min="8457" max="8457" width="10.42578125" style="42" customWidth="1"/>
    <col min="8458" max="8458" width="7.85546875" style="42" customWidth="1"/>
    <col min="8459" max="8459" width="11.28515625" style="42" customWidth="1"/>
    <col min="8460" max="8460" width="6.7109375" style="42" customWidth="1"/>
    <col min="8461" max="8461" width="10.7109375" style="42" customWidth="1"/>
    <col min="8462" max="8462" width="11" style="42" customWidth="1"/>
    <col min="8463" max="8463" width="10" style="42" customWidth="1"/>
    <col min="8464" max="8464" width="10.42578125" style="42" customWidth="1"/>
    <col min="8465" max="8465" width="6.42578125" style="42" customWidth="1"/>
    <col min="8466" max="8466" width="8" style="42" customWidth="1"/>
    <col min="8467" max="8467" width="8.7109375" style="42" customWidth="1"/>
    <col min="8468" max="8468" width="8.28515625" style="42" customWidth="1"/>
    <col min="8469" max="8704" width="9.140625" style="42"/>
    <col min="8705" max="8705" width="3.28515625" style="42" customWidth="1"/>
    <col min="8706" max="8706" width="0.140625" style="42" customWidth="1"/>
    <col min="8707" max="8707" width="6.85546875" style="42" customWidth="1"/>
    <col min="8708" max="8708" width="9.140625" style="42" customWidth="1"/>
    <col min="8709" max="8709" width="13.140625" style="42" customWidth="1"/>
    <col min="8710" max="8710" width="8.140625" style="42" customWidth="1"/>
    <col min="8711" max="8711" width="16.28515625" style="42" customWidth="1"/>
    <col min="8712" max="8712" width="0" style="42" hidden="1" customWidth="1"/>
    <col min="8713" max="8713" width="10.42578125" style="42" customWidth="1"/>
    <col min="8714" max="8714" width="7.85546875" style="42" customWidth="1"/>
    <col min="8715" max="8715" width="11.28515625" style="42" customWidth="1"/>
    <col min="8716" max="8716" width="6.7109375" style="42" customWidth="1"/>
    <col min="8717" max="8717" width="10.7109375" style="42" customWidth="1"/>
    <col min="8718" max="8718" width="11" style="42" customWidth="1"/>
    <col min="8719" max="8719" width="10" style="42" customWidth="1"/>
    <col min="8720" max="8720" width="10.42578125" style="42" customWidth="1"/>
    <col min="8721" max="8721" width="6.42578125" style="42" customWidth="1"/>
    <col min="8722" max="8722" width="8" style="42" customWidth="1"/>
    <col min="8723" max="8723" width="8.7109375" style="42" customWidth="1"/>
    <col min="8724" max="8724" width="8.28515625" style="42" customWidth="1"/>
    <col min="8725" max="8960" width="9.140625" style="42"/>
    <col min="8961" max="8961" width="3.28515625" style="42" customWidth="1"/>
    <col min="8962" max="8962" width="0.140625" style="42" customWidth="1"/>
    <col min="8963" max="8963" width="6.85546875" style="42" customWidth="1"/>
    <col min="8964" max="8964" width="9.140625" style="42" customWidth="1"/>
    <col min="8965" max="8965" width="13.140625" style="42" customWidth="1"/>
    <col min="8966" max="8966" width="8.140625" style="42" customWidth="1"/>
    <col min="8967" max="8967" width="16.28515625" style="42" customWidth="1"/>
    <col min="8968" max="8968" width="0" style="42" hidden="1" customWidth="1"/>
    <col min="8969" max="8969" width="10.42578125" style="42" customWidth="1"/>
    <col min="8970" max="8970" width="7.85546875" style="42" customWidth="1"/>
    <col min="8971" max="8971" width="11.28515625" style="42" customWidth="1"/>
    <col min="8972" max="8972" width="6.7109375" style="42" customWidth="1"/>
    <col min="8973" max="8973" width="10.7109375" style="42" customWidth="1"/>
    <col min="8974" max="8974" width="11" style="42" customWidth="1"/>
    <col min="8975" max="8975" width="10" style="42" customWidth="1"/>
    <col min="8976" max="8976" width="10.42578125" style="42" customWidth="1"/>
    <col min="8977" max="8977" width="6.42578125" style="42" customWidth="1"/>
    <col min="8978" max="8978" width="8" style="42" customWidth="1"/>
    <col min="8979" max="8979" width="8.7109375" style="42" customWidth="1"/>
    <col min="8980" max="8980" width="8.28515625" style="42" customWidth="1"/>
    <col min="8981" max="9216" width="9.140625" style="42"/>
    <col min="9217" max="9217" width="3.28515625" style="42" customWidth="1"/>
    <col min="9218" max="9218" width="0.140625" style="42" customWidth="1"/>
    <col min="9219" max="9219" width="6.85546875" style="42" customWidth="1"/>
    <col min="9220" max="9220" width="9.140625" style="42" customWidth="1"/>
    <col min="9221" max="9221" width="13.140625" style="42" customWidth="1"/>
    <col min="9222" max="9222" width="8.140625" style="42" customWidth="1"/>
    <col min="9223" max="9223" width="16.28515625" style="42" customWidth="1"/>
    <col min="9224" max="9224" width="0" style="42" hidden="1" customWidth="1"/>
    <col min="9225" max="9225" width="10.42578125" style="42" customWidth="1"/>
    <col min="9226" max="9226" width="7.85546875" style="42" customWidth="1"/>
    <col min="9227" max="9227" width="11.28515625" style="42" customWidth="1"/>
    <col min="9228" max="9228" width="6.7109375" style="42" customWidth="1"/>
    <col min="9229" max="9229" width="10.7109375" style="42" customWidth="1"/>
    <col min="9230" max="9230" width="11" style="42" customWidth="1"/>
    <col min="9231" max="9231" width="10" style="42" customWidth="1"/>
    <col min="9232" max="9232" width="10.42578125" style="42" customWidth="1"/>
    <col min="9233" max="9233" width="6.42578125" style="42" customWidth="1"/>
    <col min="9234" max="9234" width="8" style="42" customWidth="1"/>
    <col min="9235" max="9235" width="8.7109375" style="42" customWidth="1"/>
    <col min="9236" max="9236" width="8.28515625" style="42" customWidth="1"/>
    <col min="9237" max="9472" width="9.140625" style="42"/>
    <col min="9473" max="9473" width="3.28515625" style="42" customWidth="1"/>
    <col min="9474" max="9474" width="0.140625" style="42" customWidth="1"/>
    <col min="9475" max="9475" width="6.85546875" style="42" customWidth="1"/>
    <col min="9476" max="9476" width="9.140625" style="42" customWidth="1"/>
    <col min="9477" max="9477" width="13.140625" style="42" customWidth="1"/>
    <col min="9478" max="9478" width="8.140625" style="42" customWidth="1"/>
    <col min="9479" max="9479" width="16.28515625" style="42" customWidth="1"/>
    <col min="9480" max="9480" width="0" style="42" hidden="1" customWidth="1"/>
    <col min="9481" max="9481" width="10.42578125" style="42" customWidth="1"/>
    <col min="9482" max="9482" width="7.85546875" style="42" customWidth="1"/>
    <col min="9483" max="9483" width="11.28515625" style="42" customWidth="1"/>
    <col min="9484" max="9484" width="6.7109375" style="42" customWidth="1"/>
    <col min="9485" max="9485" width="10.7109375" style="42" customWidth="1"/>
    <col min="9486" max="9486" width="11" style="42" customWidth="1"/>
    <col min="9487" max="9487" width="10" style="42" customWidth="1"/>
    <col min="9488" max="9488" width="10.42578125" style="42" customWidth="1"/>
    <col min="9489" max="9489" width="6.42578125" style="42" customWidth="1"/>
    <col min="9490" max="9490" width="8" style="42" customWidth="1"/>
    <col min="9491" max="9491" width="8.7109375" style="42" customWidth="1"/>
    <col min="9492" max="9492" width="8.28515625" style="42" customWidth="1"/>
    <col min="9493" max="9728" width="9.140625" style="42"/>
    <col min="9729" max="9729" width="3.28515625" style="42" customWidth="1"/>
    <col min="9730" max="9730" width="0.140625" style="42" customWidth="1"/>
    <col min="9731" max="9731" width="6.85546875" style="42" customWidth="1"/>
    <col min="9732" max="9732" width="9.140625" style="42" customWidth="1"/>
    <col min="9733" max="9733" width="13.140625" style="42" customWidth="1"/>
    <col min="9734" max="9734" width="8.140625" style="42" customWidth="1"/>
    <col min="9735" max="9735" width="16.28515625" style="42" customWidth="1"/>
    <col min="9736" max="9736" width="0" style="42" hidden="1" customWidth="1"/>
    <col min="9737" max="9737" width="10.42578125" style="42" customWidth="1"/>
    <col min="9738" max="9738" width="7.85546875" style="42" customWidth="1"/>
    <col min="9739" max="9739" width="11.28515625" style="42" customWidth="1"/>
    <col min="9740" max="9740" width="6.7109375" style="42" customWidth="1"/>
    <col min="9741" max="9741" width="10.7109375" style="42" customWidth="1"/>
    <col min="9742" max="9742" width="11" style="42" customWidth="1"/>
    <col min="9743" max="9743" width="10" style="42" customWidth="1"/>
    <col min="9744" max="9744" width="10.42578125" style="42" customWidth="1"/>
    <col min="9745" max="9745" width="6.42578125" style="42" customWidth="1"/>
    <col min="9746" max="9746" width="8" style="42" customWidth="1"/>
    <col min="9747" max="9747" width="8.7109375" style="42" customWidth="1"/>
    <col min="9748" max="9748" width="8.28515625" style="42" customWidth="1"/>
    <col min="9749" max="9984" width="9.140625" style="42"/>
    <col min="9985" max="9985" width="3.28515625" style="42" customWidth="1"/>
    <col min="9986" max="9986" width="0.140625" style="42" customWidth="1"/>
    <col min="9987" max="9987" width="6.85546875" style="42" customWidth="1"/>
    <col min="9988" max="9988" width="9.140625" style="42" customWidth="1"/>
    <col min="9989" max="9989" width="13.140625" style="42" customWidth="1"/>
    <col min="9990" max="9990" width="8.140625" style="42" customWidth="1"/>
    <col min="9991" max="9991" width="16.28515625" style="42" customWidth="1"/>
    <col min="9992" max="9992" width="0" style="42" hidden="1" customWidth="1"/>
    <col min="9993" max="9993" width="10.42578125" style="42" customWidth="1"/>
    <col min="9994" max="9994" width="7.85546875" style="42" customWidth="1"/>
    <col min="9995" max="9995" width="11.28515625" style="42" customWidth="1"/>
    <col min="9996" max="9996" width="6.7109375" style="42" customWidth="1"/>
    <col min="9997" max="9997" width="10.7109375" style="42" customWidth="1"/>
    <col min="9998" max="9998" width="11" style="42" customWidth="1"/>
    <col min="9999" max="9999" width="10" style="42" customWidth="1"/>
    <col min="10000" max="10000" width="10.42578125" style="42" customWidth="1"/>
    <col min="10001" max="10001" width="6.42578125" style="42" customWidth="1"/>
    <col min="10002" max="10002" width="8" style="42" customWidth="1"/>
    <col min="10003" max="10003" width="8.7109375" style="42" customWidth="1"/>
    <col min="10004" max="10004" width="8.28515625" style="42" customWidth="1"/>
    <col min="10005" max="10240" width="9.140625" style="42"/>
    <col min="10241" max="10241" width="3.28515625" style="42" customWidth="1"/>
    <col min="10242" max="10242" width="0.140625" style="42" customWidth="1"/>
    <col min="10243" max="10243" width="6.85546875" style="42" customWidth="1"/>
    <col min="10244" max="10244" width="9.140625" style="42" customWidth="1"/>
    <col min="10245" max="10245" width="13.140625" style="42" customWidth="1"/>
    <col min="10246" max="10246" width="8.140625" style="42" customWidth="1"/>
    <col min="10247" max="10247" width="16.28515625" style="42" customWidth="1"/>
    <col min="10248" max="10248" width="0" style="42" hidden="1" customWidth="1"/>
    <col min="10249" max="10249" width="10.42578125" style="42" customWidth="1"/>
    <col min="10250" max="10250" width="7.85546875" style="42" customWidth="1"/>
    <col min="10251" max="10251" width="11.28515625" style="42" customWidth="1"/>
    <col min="10252" max="10252" width="6.7109375" style="42" customWidth="1"/>
    <col min="10253" max="10253" width="10.7109375" style="42" customWidth="1"/>
    <col min="10254" max="10254" width="11" style="42" customWidth="1"/>
    <col min="10255" max="10255" width="10" style="42" customWidth="1"/>
    <col min="10256" max="10256" width="10.42578125" style="42" customWidth="1"/>
    <col min="10257" max="10257" width="6.42578125" style="42" customWidth="1"/>
    <col min="10258" max="10258" width="8" style="42" customWidth="1"/>
    <col min="10259" max="10259" width="8.7109375" style="42" customWidth="1"/>
    <col min="10260" max="10260" width="8.28515625" style="42" customWidth="1"/>
    <col min="10261" max="10496" width="9.140625" style="42"/>
    <col min="10497" max="10497" width="3.28515625" style="42" customWidth="1"/>
    <col min="10498" max="10498" width="0.140625" style="42" customWidth="1"/>
    <col min="10499" max="10499" width="6.85546875" style="42" customWidth="1"/>
    <col min="10500" max="10500" width="9.140625" style="42" customWidth="1"/>
    <col min="10501" max="10501" width="13.140625" style="42" customWidth="1"/>
    <col min="10502" max="10502" width="8.140625" style="42" customWidth="1"/>
    <col min="10503" max="10503" width="16.28515625" style="42" customWidth="1"/>
    <col min="10504" max="10504" width="0" style="42" hidden="1" customWidth="1"/>
    <col min="10505" max="10505" width="10.42578125" style="42" customWidth="1"/>
    <col min="10506" max="10506" width="7.85546875" style="42" customWidth="1"/>
    <col min="10507" max="10507" width="11.28515625" style="42" customWidth="1"/>
    <col min="10508" max="10508" width="6.7109375" style="42" customWidth="1"/>
    <col min="10509" max="10509" width="10.7109375" style="42" customWidth="1"/>
    <col min="10510" max="10510" width="11" style="42" customWidth="1"/>
    <col min="10511" max="10511" width="10" style="42" customWidth="1"/>
    <col min="10512" max="10512" width="10.42578125" style="42" customWidth="1"/>
    <col min="10513" max="10513" width="6.42578125" style="42" customWidth="1"/>
    <col min="10514" max="10514" width="8" style="42" customWidth="1"/>
    <col min="10515" max="10515" width="8.7109375" style="42" customWidth="1"/>
    <col min="10516" max="10516" width="8.28515625" style="42" customWidth="1"/>
    <col min="10517" max="10752" width="9.140625" style="42"/>
    <col min="10753" max="10753" width="3.28515625" style="42" customWidth="1"/>
    <col min="10754" max="10754" width="0.140625" style="42" customWidth="1"/>
    <col min="10755" max="10755" width="6.85546875" style="42" customWidth="1"/>
    <col min="10756" max="10756" width="9.140625" style="42" customWidth="1"/>
    <col min="10757" max="10757" width="13.140625" style="42" customWidth="1"/>
    <col min="10758" max="10758" width="8.140625" style="42" customWidth="1"/>
    <col min="10759" max="10759" width="16.28515625" style="42" customWidth="1"/>
    <col min="10760" max="10760" width="0" style="42" hidden="1" customWidth="1"/>
    <col min="10761" max="10761" width="10.42578125" style="42" customWidth="1"/>
    <col min="10762" max="10762" width="7.85546875" style="42" customWidth="1"/>
    <col min="10763" max="10763" width="11.28515625" style="42" customWidth="1"/>
    <col min="10764" max="10764" width="6.7109375" style="42" customWidth="1"/>
    <col min="10765" max="10765" width="10.7109375" style="42" customWidth="1"/>
    <col min="10766" max="10766" width="11" style="42" customWidth="1"/>
    <col min="10767" max="10767" width="10" style="42" customWidth="1"/>
    <col min="10768" max="10768" width="10.42578125" style="42" customWidth="1"/>
    <col min="10769" max="10769" width="6.42578125" style="42" customWidth="1"/>
    <col min="10770" max="10770" width="8" style="42" customWidth="1"/>
    <col min="10771" max="10771" width="8.7109375" style="42" customWidth="1"/>
    <col min="10772" max="10772" width="8.28515625" style="42" customWidth="1"/>
    <col min="10773" max="11008" width="9.140625" style="42"/>
    <col min="11009" max="11009" width="3.28515625" style="42" customWidth="1"/>
    <col min="11010" max="11010" width="0.140625" style="42" customWidth="1"/>
    <col min="11011" max="11011" width="6.85546875" style="42" customWidth="1"/>
    <col min="11012" max="11012" width="9.140625" style="42" customWidth="1"/>
    <col min="11013" max="11013" width="13.140625" style="42" customWidth="1"/>
    <col min="11014" max="11014" width="8.140625" style="42" customWidth="1"/>
    <col min="11015" max="11015" width="16.28515625" style="42" customWidth="1"/>
    <col min="11016" max="11016" width="0" style="42" hidden="1" customWidth="1"/>
    <col min="11017" max="11017" width="10.42578125" style="42" customWidth="1"/>
    <col min="11018" max="11018" width="7.85546875" style="42" customWidth="1"/>
    <col min="11019" max="11019" width="11.28515625" style="42" customWidth="1"/>
    <col min="11020" max="11020" width="6.7109375" style="42" customWidth="1"/>
    <col min="11021" max="11021" width="10.7109375" style="42" customWidth="1"/>
    <col min="11022" max="11022" width="11" style="42" customWidth="1"/>
    <col min="11023" max="11023" width="10" style="42" customWidth="1"/>
    <col min="11024" max="11024" width="10.42578125" style="42" customWidth="1"/>
    <col min="11025" max="11025" width="6.42578125" style="42" customWidth="1"/>
    <col min="11026" max="11026" width="8" style="42" customWidth="1"/>
    <col min="11027" max="11027" width="8.7109375" style="42" customWidth="1"/>
    <col min="11028" max="11028" width="8.28515625" style="42" customWidth="1"/>
    <col min="11029" max="11264" width="9.140625" style="42"/>
    <col min="11265" max="11265" width="3.28515625" style="42" customWidth="1"/>
    <col min="11266" max="11266" width="0.140625" style="42" customWidth="1"/>
    <col min="11267" max="11267" width="6.85546875" style="42" customWidth="1"/>
    <col min="11268" max="11268" width="9.140625" style="42" customWidth="1"/>
    <col min="11269" max="11269" width="13.140625" style="42" customWidth="1"/>
    <col min="11270" max="11270" width="8.140625" style="42" customWidth="1"/>
    <col min="11271" max="11271" width="16.28515625" style="42" customWidth="1"/>
    <col min="11272" max="11272" width="0" style="42" hidden="1" customWidth="1"/>
    <col min="11273" max="11273" width="10.42578125" style="42" customWidth="1"/>
    <col min="11274" max="11274" width="7.85546875" style="42" customWidth="1"/>
    <col min="11275" max="11275" width="11.28515625" style="42" customWidth="1"/>
    <col min="11276" max="11276" width="6.7109375" style="42" customWidth="1"/>
    <col min="11277" max="11277" width="10.7109375" style="42" customWidth="1"/>
    <col min="11278" max="11278" width="11" style="42" customWidth="1"/>
    <col min="11279" max="11279" width="10" style="42" customWidth="1"/>
    <col min="11280" max="11280" width="10.42578125" style="42" customWidth="1"/>
    <col min="11281" max="11281" width="6.42578125" style="42" customWidth="1"/>
    <col min="11282" max="11282" width="8" style="42" customWidth="1"/>
    <col min="11283" max="11283" width="8.7109375" style="42" customWidth="1"/>
    <col min="11284" max="11284" width="8.28515625" style="42" customWidth="1"/>
    <col min="11285" max="11520" width="9.140625" style="42"/>
    <col min="11521" max="11521" width="3.28515625" style="42" customWidth="1"/>
    <col min="11522" max="11522" width="0.140625" style="42" customWidth="1"/>
    <col min="11523" max="11523" width="6.85546875" style="42" customWidth="1"/>
    <col min="11524" max="11524" width="9.140625" style="42" customWidth="1"/>
    <col min="11525" max="11525" width="13.140625" style="42" customWidth="1"/>
    <col min="11526" max="11526" width="8.140625" style="42" customWidth="1"/>
    <col min="11527" max="11527" width="16.28515625" style="42" customWidth="1"/>
    <col min="11528" max="11528" width="0" style="42" hidden="1" customWidth="1"/>
    <col min="11529" max="11529" width="10.42578125" style="42" customWidth="1"/>
    <col min="11530" max="11530" width="7.85546875" style="42" customWidth="1"/>
    <col min="11531" max="11531" width="11.28515625" style="42" customWidth="1"/>
    <col min="11532" max="11532" width="6.7109375" style="42" customWidth="1"/>
    <col min="11533" max="11533" width="10.7109375" style="42" customWidth="1"/>
    <col min="11534" max="11534" width="11" style="42" customWidth="1"/>
    <col min="11535" max="11535" width="10" style="42" customWidth="1"/>
    <col min="11536" max="11536" width="10.42578125" style="42" customWidth="1"/>
    <col min="11537" max="11537" width="6.42578125" style="42" customWidth="1"/>
    <col min="11538" max="11538" width="8" style="42" customWidth="1"/>
    <col min="11539" max="11539" width="8.7109375" style="42" customWidth="1"/>
    <col min="11540" max="11540" width="8.28515625" style="42" customWidth="1"/>
    <col min="11541" max="11776" width="9.140625" style="42"/>
    <col min="11777" max="11777" width="3.28515625" style="42" customWidth="1"/>
    <col min="11778" max="11778" width="0.140625" style="42" customWidth="1"/>
    <col min="11779" max="11779" width="6.85546875" style="42" customWidth="1"/>
    <col min="11780" max="11780" width="9.140625" style="42" customWidth="1"/>
    <col min="11781" max="11781" width="13.140625" style="42" customWidth="1"/>
    <col min="11782" max="11782" width="8.140625" style="42" customWidth="1"/>
    <col min="11783" max="11783" width="16.28515625" style="42" customWidth="1"/>
    <col min="11784" max="11784" width="0" style="42" hidden="1" customWidth="1"/>
    <col min="11785" max="11785" width="10.42578125" style="42" customWidth="1"/>
    <col min="11786" max="11786" width="7.85546875" style="42" customWidth="1"/>
    <col min="11787" max="11787" width="11.28515625" style="42" customWidth="1"/>
    <col min="11788" max="11788" width="6.7109375" style="42" customWidth="1"/>
    <col min="11789" max="11789" width="10.7109375" style="42" customWidth="1"/>
    <col min="11790" max="11790" width="11" style="42" customWidth="1"/>
    <col min="11791" max="11791" width="10" style="42" customWidth="1"/>
    <col min="11792" max="11792" width="10.42578125" style="42" customWidth="1"/>
    <col min="11793" max="11793" width="6.42578125" style="42" customWidth="1"/>
    <col min="11794" max="11794" width="8" style="42" customWidth="1"/>
    <col min="11795" max="11795" width="8.7109375" style="42" customWidth="1"/>
    <col min="11796" max="11796" width="8.28515625" style="42" customWidth="1"/>
    <col min="11797" max="12032" width="9.140625" style="42"/>
    <col min="12033" max="12033" width="3.28515625" style="42" customWidth="1"/>
    <col min="12034" max="12034" width="0.140625" style="42" customWidth="1"/>
    <col min="12035" max="12035" width="6.85546875" style="42" customWidth="1"/>
    <col min="12036" max="12036" width="9.140625" style="42" customWidth="1"/>
    <col min="12037" max="12037" width="13.140625" style="42" customWidth="1"/>
    <col min="12038" max="12038" width="8.140625" style="42" customWidth="1"/>
    <col min="12039" max="12039" width="16.28515625" style="42" customWidth="1"/>
    <col min="12040" max="12040" width="0" style="42" hidden="1" customWidth="1"/>
    <col min="12041" max="12041" width="10.42578125" style="42" customWidth="1"/>
    <col min="12042" max="12042" width="7.85546875" style="42" customWidth="1"/>
    <col min="12043" max="12043" width="11.28515625" style="42" customWidth="1"/>
    <col min="12044" max="12044" width="6.7109375" style="42" customWidth="1"/>
    <col min="12045" max="12045" width="10.7109375" style="42" customWidth="1"/>
    <col min="12046" max="12046" width="11" style="42" customWidth="1"/>
    <col min="12047" max="12047" width="10" style="42" customWidth="1"/>
    <col min="12048" max="12048" width="10.42578125" style="42" customWidth="1"/>
    <col min="12049" max="12049" width="6.42578125" style="42" customWidth="1"/>
    <col min="12050" max="12050" width="8" style="42" customWidth="1"/>
    <col min="12051" max="12051" width="8.7109375" style="42" customWidth="1"/>
    <col min="12052" max="12052" width="8.28515625" style="42" customWidth="1"/>
    <col min="12053" max="12288" width="9.140625" style="42"/>
    <col min="12289" max="12289" width="3.28515625" style="42" customWidth="1"/>
    <col min="12290" max="12290" width="0.140625" style="42" customWidth="1"/>
    <col min="12291" max="12291" width="6.85546875" style="42" customWidth="1"/>
    <col min="12292" max="12292" width="9.140625" style="42" customWidth="1"/>
    <col min="12293" max="12293" width="13.140625" style="42" customWidth="1"/>
    <col min="12294" max="12294" width="8.140625" style="42" customWidth="1"/>
    <col min="12295" max="12295" width="16.28515625" style="42" customWidth="1"/>
    <col min="12296" max="12296" width="0" style="42" hidden="1" customWidth="1"/>
    <col min="12297" max="12297" width="10.42578125" style="42" customWidth="1"/>
    <col min="12298" max="12298" width="7.85546875" style="42" customWidth="1"/>
    <col min="12299" max="12299" width="11.28515625" style="42" customWidth="1"/>
    <col min="12300" max="12300" width="6.7109375" style="42" customWidth="1"/>
    <col min="12301" max="12301" width="10.7109375" style="42" customWidth="1"/>
    <col min="12302" max="12302" width="11" style="42" customWidth="1"/>
    <col min="12303" max="12303" width="10" style="42" customWidth="1"/>
    <col min="12304" max="12304" width="10.42578125" style="42" customWidth="1"/>
    <col min="12305" max="12305" width="6.42578125" style="42" customWidth="1"/>
    <col min="12306" max="12306" width="8" style="42" customWidth="1"/>
    <col min="12307" max="12307" width="8.7109375" style="42" customWidth="1"/>
    <col min="12308" max="12308" width="8.28515625" style="42" customWidth="1"/>
    <col min="12309" max="12544" width="9.140625" style="42"/>
    <col min="12545" max="12545" width="3.28515625" style="42" customWidth="1"/>
    <col min="12546" max="12546" width="0.140625" style="42" customWidth="1"/>
    <col min="12547" max="12547" width="6.85546875" style="42" customWidth="1"/>
    <col min="12548" max="12548" width="9.140625" style="42" customWidth="1"/>
    <col min="12549" max="12549" width="13.140625" style="42" customWidth="1"/>
    <col min="12550" max="12550" width="8.140625" style="42" customWidth="1"/>
    <col min="12551" max="12551" width="16.28515625" style="42" customWidth="1"/>
    <col min="12552" max="12552" width="0" style="42" hidden="1" customWidth="1"/>
    <col min="12553" max="12553" width="10.42578125" style="42" customWidth="1"/>
    <col min="12554" max="12554" width="7.85546875" style="42" customWidth="1"/>
    <col min="12555" max="12555" width="11.28515625" style="42" customWidth="1"/>
    <col min="12556" max="12556" width="6.7109375" style="42" customWidth="1"/>
    <col min="12557" max="12557" width="10.7109375" style="42" customWidth="1"/>
    <col min="12558" max="12558" width="11" style="42" customWidth="1"/>
    <col min="12559" max="12559" width="10" style="42" customWidth="1"/>
    <col min="12560" max="12560" width="10.42578125" style="42" customWidth="1"/>
    <col min="12561" max="12561" width="6.42578125" style="42" customWidth="1"/>
    <col min="12562" max="12562" width="8" style="42" customWidth="1"/>
    <col min="12563" max="12563" width="8.7109375" style="42" customWidth="1"/>
    <col min="12564" max="12564" width="8.28515625" style="42" customWidth="1"/>
    <col min="12565" max="12800" width="9.140625" style="42"/>
    <col min="12801" max="12801" width="3.28515625" style="42" customWidth="1"/>
    <col min="12802" max="12802" width="0.140625" style="42" customWidth="1"/>
    <col min="12803" max="12803" width="6.85546875" style="42" customWidth="1"/>
    <col min="12804" max="12804" width="9.140625" style="42" customWidth="1"/>
    <col min="12805" max="12805" width="13.140625" style="42" customWidth="1"/>
    <col min="12806" max="12806" width="8.140625" style="42" customWidth="1"/>
    <col min="12807" max="12807" width="16.28515625" style="42" customWidth="1"/>
    <col min="12808" max="12808" width="0" style="42" hidden="1" customWidth="1"/>
    <col min="12809" max="12809" width="10.42578125" style="42" customWidth="1"/>
    <col min="12810" max="12810" width="7.85546875" style="42" customWidth="1"/>
    <col min="12811" max="12811" width="11.28515625" style="42" customWidth="1"/>
    <col min="12812" max="12812" width="6.7109375" style="42" customWidth="1"/>
    <col min="12813" max="12813" width="10.7109375" style="42" customWidth="1"/>
    <col min="12814" max="12814" width="11" style="42" customWidth="1"/>
    <col min="12815" max="12815" width="10" style="42" customWidth="1"/>
    <col min="12816" max="12816" width="10.42578125" style="42" customWidth="1"/>
    <col min="12817" max="12817" width="6.42578125" style="42" customWidth="1"/>
    <col min="12818" max="12818" width="8" style="42" customWidth="1"/>
    <col min="12819" max="12819" width="8.7109375" style="42" customWidth="1"/>
    <col min="12820" max="12820" width="8.28515625" style="42" customWidth="1"/>
    <col min="12821" max="13056" width="9.140625" style="42"/>
    <col min="13057" max="13057" width="3.28515625" style="42" customWidth="1"/>
    <col min="13058" max="13058" width="0.140625" style="42" customWidth="1"/>
    <col min="13059" max="13059" width="6.85546875" style="42" customWidth="1"/>
    <col min="13060" max="13060" width="9.140625" style="42" customWidth="1"/>
    <col min="13061" max="13061" width="13.140625" style="42" customWidth="1"/>
    <col min="13062" max="13062" width="8.140625" style="42" customWidth="1"/>
    <col min="13063" max="13063" width="16.28515625" style="42" customWidth="1"/>
    <col min="13064" max="13064" width="0" style="42" hidden="1" customWidth="1"/>
    <col min="13065" max="13065" width="10.42578125" style="42" customWidth="1"/>
    <col min="13066" max="13066" width="7.85546875" style="42" customWidth="1"/>
    <col min="13067" max="13067" width="11.28515625" style="42" customWidth="1"/>
    <col min="13068" max="13068" width="6.7109375" style="42" customWidth="1"/>
    <col min="13069" max="13069" width="10.7109375" style="42" customWidth="1"/>
    <col min="13070" max="13070" width="11" style="42" customWidth="1"/>
    <col min="13071" max="13071" width="10" style="42" customWidth="1"/>
    <col min="13072" max="13072" width="10.42578125" style="42" customWidth="1"/>
    <col min="13073" max="13073" width="6.42578125" style="42" customWidth="1"/>
    <col min="13074" max="13074" width="8" style="42" customWidth="1"/>
    <col min="13075" max="13075" width="8.7109375" style="42" customWidth="1"/>
    <col min="13076" max="13076" width="8.28515625" style="42" customWidth="1"/>
    <col min="13077" max="13312" width="9.140625" style="42"/>
    <col min="13313" max="13313" width="3.28515625" style="42" customWidth="1"/>
    <col min="13314" max="13314" width="0.140625" style="42" customWidth="1"/>
    <col min="13315" max="13315" width="6.85546875" style="42" customWidth="1"/>
    <col min="13316" max="13316" width="9.140625" style="42" customWidth="1"/>
    <col min="13317" max="13317" width="13.140625" style="42" customWidth="1"/>
    <col min="13318" max="13318" width="8.140625" style="42" customWidth="1"/>
    <col min="13319" max="13319" width="16.28515625" style="42" customWidth="1"/>
    <col min="13320" max="13320" width="0" style="42" hidden="1" customWidth="1"/>
    <col min="13321" max="13321" width="10.42578125" style="42" customWidth="1"/>
    <col min="13322" max="13322" width="7.85546875" style="42" customWidth="1"/>
    <col min="13323" max="13323" width="11.28515625" style="42" customWidth="1"/>
    <col min="13324" max="13324" width="6.7109375" style="42" customWidth="1"/>
    <col min="13325" max="13325" width="10.7109375" style="42" customWidth="1"/>
    <col min="13326" max="13326" width="11" style="42" customWidth="1"/>
    <col min="13327" max="13327" width="10" style="42" customWidth="1"/>
    <col min="13328" max="13328" width="10.42578125" style="42" customWidth="1"/>
    <col min="13329" max="13329" width="6.42578125" style="42" customWidth="1"/>
    <col min="13330" max="13330" width="8" style="42" customWidth="1"/>
    <col min="13331" max="13331" width="8.7109375" style="42" customWidth="1"/>
    <col min="13332" max="13332" width="8.28515625" style="42" customWidth="1"/>
    <col min="13333" max="13568" width="9.140625" style="42"/>
    <col min="13569" max="13569" width="3.28515625" style="42" customWidth="1"/>
    <col min="13570" max="13570" width="0.140625" style="42" customWidth="1"/>
    <col min="13571" max="13571" width="6.85546875" style="42" customWidth="1"/>
    <col min="13572" max="13572" width="9.140625" style="42" customWidth="1"/>
    <col min="13573" max="13573" width="13.140625" style="42" customWidth="1"/>
    <col min="13574" max="13574" width="8.140625" style="42" customWidth="1"/>
    <col min="13575" max="13575" width="16.28515625" style="42" customWidth="1"/>
    <col min="13576" max="13576" width="0" style="42" hidden="1" customWidth="1"/>
    <col min="13577" max="13577" width="10.42578125" style="42" customWidth="1"/>
    <col min="13578" max="13578" width="7.85546875" style="42" customWidth="1"/>
    <col min="13579" max="13579" width="11.28515625" style="42" customWidth="1"/>
    <col min="13580" max="13580" width="6.7109375" style="42" customWidth="1"/>
    <col min="13581" max="13581" width="10.7109375" style="42" customWidth="1"/>
    <col min="13582" max="13582" width="11" style="42" customWidth="1"/>
    <col min="13583" max="13583" width="10" style="42" customWidth="1"/>
    <col min="13584" max="13584" width="10.42578125" style="42" customWidth="1"/>
    <col min="13585" max="13585" width="6.42578125" style="42" customWidth="1"/>
    <col min="13586" max="13586" width="8" style="42" customWidth="1"/>
    <col min="13587" max="13587" width="8.7109375" style="42" customWidth="1"/>
    <col min="13588" max="13588" width="8.28515625" style="42" customWidth="1"/>
    <col min="13589" max="13824" width="9.140625" style="42"/>
    <col min="13825" max="13825" width="3.28515625" style="42" customWidth="1"/>
    <col min="13826" max="13826" width="0.140625" style="42" customWidth="1"/>
    <col min="13827" max="13827" width="6.85546875" style="42" customWidth="1"/>
    <col min="13828" max="13828" width="9.140625" style="42" customWidth="1"/>
    <col min="13829" max="13829" width="13.140625" style="42" customWidth="1"/>
    <col min="13830" max="13830" width="8.140625" style="42" customWidth="1"/>
    <col min="13831" max="13831" width="16.28515625" style="42" customWidth="1"/>
    <col min="13832" max="13832" width="0" style="42" hidden="1" customWidth="1"/>
    <col min="13833" max="13833" width="10.42578125" style="42" customWidth="1"/>
    <col min="13834" max="13834" width="7.85546875" style="42" customWidth="1"/>
    <col min="13835" max="13835" width="11.28515625" style="42" customWidth="1"/>
    <col min="13836" max="13836" width="6.7109375" style="42" customWidth="1"/>
    <col min="13837" max="13837" width="10.7109375" style="42" customWidth="1"/>
    <col min="13838" max="13838" width="11" style="42" customWidth="1"/>
    <col min="13839" max="13839" width="10" style="42" customWidth="1"/>
    <col min="13840" max="13840" width="10.42578125" style="42" customWidth="1"/>
    <col min="13841" max="13841" width="6.42578125" style="42" customWidth="1"/>
    <col min="13842" max="13842" width="8" style="42" customWidth="1"/>
    <col min="13843" max="13843" width="8.7109375" style="42" customWidth="1"/>
    <col min="13844" max="13844" width="8.28515625" style="42" customWidth="1"/>
    <col min="13845" max="14080" width="9.140625" style="42"/>
    <col min="14081" max="14081" width="3.28515625" style="42" customWidth="1"/>
    <col min="14082" max="14082" width="0.140625" style="42" customWidth="1"/>
    <col min="14083" max="14083" width="6.85546875" style="42" customWidth="1"/>
    <col min="14084" max="14084" width="9.140625" style="42" customWidth="1"/>
    <col min="14085" max="14085" width="13.140625" style="42" customWidth="1"/>
    <col min="14086" max="14086" width="8.140625" style="42" customWidth="1"/>
    <col min="14087" max="14087" width="16.28515625" style="42" customWidth="1"/>
    <col min="14088" max="14088" width="0" style="42" hidden="1" customWidth="1"/>
    <col min="14089" max="14089" width="10.42578125" style="42" customWidth="1"/>
    <col min="14090" max="14090" width="7.85546875" style="42" customWidth="1"/>
    <col min="14091" max="14091" width="11.28515625" style="42" customWidth="1"/>
    <col min="14092" max="14092" width="6.7109375" style="42" customWidth="1"/>
    <col min="14093" max="14093" width="10.7109375" style="42" customWidth="1"/>
    <col min="14094" max="14094" width="11" style="42" customWidth="1"/>
    <col min="14095" max="14095" width="10" style="42" customWidth="1"/>
    <col min="14096" max="14096" width="10.42578125" style="42" customWidth="1"/>
    <col min="14097" max="14097" width="6.42578125" style="42" customWidth="1"/>
    <col min="14098" max="14098" width="8" style="42" customWidth="1"/>
    <col min="14099" max="14099" width="8.7109375" style="42" customWidth="1"/>
    <col min="14100" max="14100" width="8.28515625" style="42" customWidth="1"/>
    <col min="14101" max="14336" width="9.140625" style="42"/>
    <col min="14337" max="14337" width="3.28515625" style="42" customWidth="1"/>
    <col min="14338" max="14338" width="0.140625" style="42" customWidth="1"/>
    <col min="14339" max="14339" width="6.85546875" style="42" customWidth="1"/>
    <col min="14340" max="14340" width="9.140625" style="42" customWidth="1"/>
    <col min="14341" max="14341" width="13.140625" style="42" customWidth="1"/>
    <col min="14342" max="14342" width="8.140625" style="42" customWidth="1"/>
    <col min="14343" max="14343" width="16.28515625" style="42" customWidth="1"/>
    <col min="14344" max="14344" width="0" style="42" hidden="1" customWidth="1"/>
    <col min="14345" max="14345" width="10.42578125" style="42" customWidth="1"/>
    <col min="14346" max="14346" width="7.85546875" style="42" customWidth="1"/>
    <col min="14347" max="14347" width="11.28515625" style="42" customWidth="1"/>
    <col min="14348" max="14348" width="6.7109375" style="42" customWidth="1"/>
    <col min="14349" max="14349" width="10.7109375" style="42" customWidth="1"/>
    <col min="14350" max="14350" width="11" style="42" customWidth="1"/>
    <col min="14351" max="14351" width="10" style="42" customWidth="1"/>
    <col min="14352" max="14352" width="10.42578125" style="42" customWidth="1"/>
    <col min="14353" max="14353" width="6.42578125" style="42" customWidth="1"/>
    <col min="14354" max="14354" width="8" style="42" customWidth="1"/>
    <col min="14355" max="14355" width="8.7109375" style="42" customWidth="1"/>
    <col min="14356" max="14356" width="8.28515625" style="42" customWidth="1"/>
    <col min="14357" max="14592" width="9.140625" style="42"/>
    <col min="14593" max="14593" width="3.28515625" style="42" customWidth="1"/>
    <col min="14594" max="14594" width="0.140625" style="42" customWidth="1"/>
    <col min="14595" max="14595" width="6.85546875" style="42" customWidth="1"/>
    <col min="14596" max="14596" width="9.140625" style="42" customWidth="1"/>
    <col min="14597" max="14597" width="13.140625" style="42" customWidth="1"/>
    <col min="14598" max="14598" width="8.140625" style="42" customWidth="1"/>
    <col min="14599" max="14599" width="16.28515625" style="42" customWidth="1"/>
    <col min="14600" max="14600" width="0" style="42" hidden="1" customWidth="1"/>
    <col min="14601" max="14601" width="10.42578125" style="42" customWidth="1"/>
    <col min="14602" max="14602" width="7.85546875" style="42" customWidth="1"/>
    <col min="14603" max="14603" width="11.28515625" style="42" customWidth="1"/>
    <col min="14604" max="14604" width="6.7109375" style="42" customWidth="1"/>
    <col min="14605" max="14605" width="10.7109375" style="42" customWidth="1"/>
    <col min="14606" max="14606" width="11" style="42" customWidth="1"/>
    <col min="14607" max="14607" width="10" style="42" customWidth="1"/>
    <col min="14608" max="14608" width="10.42578125" style="42" customWidth="1"/>
    <col min="14609" max="14609" width="6.42578125" style="42" customWidth="1"/>
    <col min="14610" max="14610" width="8" style="42" customWidth="1"/>
    <col min="14611" max="14611" width="8.7109375" style="42" customWidth="1"/>
    <col min="14612" max="14612" width="8.28515625" style="42" customWidth="1"/>
    <col min="14613" max="14848" width="9.140625" style="42"/>
    <col min="14849" max="14849" width="3.28515625" style="42" customWidth="1"/>
    <col min="14850" max="14850" width="0.140625" style="42" customWidth="1"/>
    <col min="14851" max="14851" width="6.85546875" style="42" customWidth="1"/>
    <col min="14852" max="14852" width="9.140625" style="42" customWidth="1"/>
    <col min="14853" max="14853" width="13.140625" style="42" customWidth="1"/>
    <col min="14854" max="14854" width="8.140625" style="42" customWidth="1"/>
    <col min="14855" max="14855" width="16.28515625" style="42" customWidth="1"/>
    <col min="14856" max="14856" width="0" style="42" hidden="1" customWidth="1"/>
    <col min="14857" max="14857" width="10.42578125" style="42" customWidth="1"/>
    <col min="14858" max="14858" width="7.85546875" style="42" customWidth="1"/>
    <col min="14859" max="14859" width="11.28515625" style="42" customWidth="1"/>
    <col min="14860" max="14860" width="6.7109375" style="42" customWidth="1"/>
    <col min="14861" max="14861" width="10.7109375" style="42" customWidth="1"/>
    <col min="14862" max="14862" width="11" style="42" customWidth="1"/>
    <col min="14863" max="14863" width="10" style="42" customWidth="1"/>
    <col min="14864" max="14864" width="10.42578125" style="42" customWidth="1"/>
    <col min="14865" max="14865" width="6.42578125" style="42" customWidth="1"/>
    <col min="14866" max="14866" width="8" style="42" customWidth="1"/>
    <col min="14867" max="14867" width="8.7109375" style="42" customWidth="1"/>
    <col min="14868" max="14868" width="8.28515625" style="42" customWidth="1"/>
    <col min="14869" max="15104" width="9.140625" style="42"/>
    <col min="15105" max="15105" width="3.28515625" style="42" customWidth="1"/>
    <col min="15106" max="15106" width="0.140625" style="42" customWidth="1"/>
    <col min="15107" max="15107" width="6.85546875" style="42" customWidth="1"/>
    <col min="15108" max="15108" width="9.140625" style="42" customWidth="1"/>
    <col min="15109" max="15109" width="13.140625" style="42" customWidth="1"/>
    <col min="15110" max="15110" width="8.140625" style="42" customWidth="1"/>
    <col min="15111" max="15111" width="16.28515625" style="42" customWidth="1"/>
    <col min="15112" max="15112" width="0" style="42" hidden="1" customWidth="1"/>
    <col min="15113" max="15113" width="10.42578125" style="42" customWidth="1"/>
    <col min="15114" max="15114" width="7.85546875" style="42" customWidth="1"/>
    <col min="15115" max="15115" width="11.28515625" style="42" customWidth="1"/>
    <col min="15116" max="15116" width="6.7109375" style="42" customWidth="1"/>
    <col min="15117" max="15117" width="10.7109375" style="42" customWidth="1"/>
    <col min="15118" max="15118" width="11" style="42" customWidth="1"/>
    <col min="15119" max="15119" width="10" style="42" customWidth="1"/>
    <col min="15120" max="15120" width="10.42578125" style="42" customWidth="1"/>
    <col min="15121" max="15121" width="6.42578125" style="42" customWidth="1"/>
    <col min="15122" max="15122" width="8" style="42" customWidth="1"/>
    <col min="15123" max="15123" width="8.7109375" style="42" customWidth="1"/>
    <col min="15124" max="15124" width="8.28515625" style="42" customWidth="1"/>
    <col min="15125" max="15360" width="9.140625" style="42"/>
    <col min="15361" max="15361" width="3.28515625" style="42" customWidth="1"/>
    <col min="15362" max="15362" width="0.140625" style="42" customWidth="1"/>
    <col min="15363" max="15363" width="6.85546875" style="42" customWidth="1"/>
    <col min="15364" max="15364" width="9.140625" style="42" customWidth="1"/>
    <col min="15365" max="15365" width="13.140625" style="42" customWidth="1"/>
    <col min="15366" max="15366" width="8.140625" style="42" customWidth="1"/>
    <col min="15367" max="15367" width="16.28515625" style="42" customWidth="1"/>
    <col min="15368" max="15368" width="0" style="42" hidden="1" customWidth="1"/>
    <col min="15369" max="15369" width="10.42578125" style="42" customWidth="1"/>
    <col min="15370" max="15370" width="7.85546875" style="42" customWidth="1"/>
    <col min="15371" max="15371" width="11.28515625" style="42" customWidth="1"/>
    <col min="15372" max="15372" width="6.7109375" style="42" customWidth="1"/>
    <col min="15373" max="15373" width="10.7109375" style="42" customWidth="1"/>
    <col min="15374" max="15374" width="11" style="42" customWidth="1"/>
    <col min="15375" max="15375" width="10" style="42" customWidth="1"/>
    <col min="15376" max="15376" width="10.42578125" style="42" customWidth="1"/>
    <col min="15377" max="15377" width="6.42578125" style="42" customWidth="1"/>
    <col min="15378" max="15378" width="8" style="42" customWidth="1"/>
    <col min="15379" max="15379" width="8.7109375" style="42" customWidth="1"/>
    <col min="15380" max="15380" width="8.28515625" style="42" customWidth="1"/>
    <col min="15381" max="15616" width="9.140625" style="42"/>
    <col min="15617" max="15617" width="3.28515625" style="42" customWidth="1"/>
    <col min="15618" max="15618" width="0.140625" style="42" customWidth="1"/>
    <col min="15619" max="15619" width="6.85546875" style="42" customWidth="1"/>
    <col min="15620" max="15620" width="9.140625" style="42" customWidth="1"/>
    <col min="15621" max="15621" width="13.140625" style="42" customWidth="1"/>
    <col min="15622" max="15622" width="8.140625" style="42" customWidth="1"/>
    <col min="15623" max="15623" width="16.28515625" style="42" customWidth="1"/>
    <col min="15624" max="15624" width="0" style="42" hidden="1" customWidth="1"/>
    <col min="15625" max="15625" width="10.42578125" style="42" customWidth="1"/>
    <col min="15626" max="15626" width="7.85546875" style="42" customWidth="1"/>
    <col min="15627" max="15627" width="11.28515625" style="42" customWidth="1"/>
    <col min="15628" max="15628" width="6.7109375" style="42" customWidth="1"/>
    <col min="15629" max="15629" width="10.7109375" style="42" customWidth="1"/>
    <col min="15630" max="15630" width="11" style="42" customWidth="1"/>
    <col min="15631" max="15631" width="10" style="42" customWidth="1"/>
    <col min="15632" max="15632" width="10.42578125" style="42" customWidth="1"/>
    <col min="15633" max="15633" width="6.42578125" style="42" customWidth="1"/>
    <col min="15634" max="15634" width="8" style="42" customWidth="1"/>
    <col min="15635" max="15635" width="8.7109375" style="42" customWidth="1"/>
    <col min="15636" max="15636" width="8.28515625" style="42" customWidth="1"/>
    <col min="15637" max="15872" width="9.140625" style="42"/>
    <col min="15873" max="15873" width="3.28515625" style="42" customWidth="1"/>
    <col min="15874" max="15874" width="0.140625" style="42" customWidth="1"/>
    <col min="15875" max="15875" width="6.85546875" style="42" customWidth="1"/>
    <col min="15876" max="15876" width="9.140625" style="42" customWidth="1"/>
    <col min="15877" max="15877" width="13.140625" style="42" customWidth="1"/>
    <col min="15878" max="15878" width="8.140625" style="42" customWidth="1"/>
    <col min="15879" max="15879" width="16.28515625" style="42" customWidth="1"/>
    <col min="15880" max="15880" width="0" style="42" hidden="1" customWidth="1"/>
    <col min="15881" max="15881" width="10.42578125" style="42" customWidth="1"/>
    <col min="15882" max="15882" width="7.85546875" style="42" customWidth="1"/>
    <col min="15883" max="15883" width="11.28515625" style="42" customWidth="1"/>
    <col min="15884" max="15884" width="6.7109375" style="42" customWidth="1"/>
    <col min="15885" max="15885" width="10.7109375" style="42" customWidth="1"/>
    <col min="15886" max="15886" width="11" style="42" customWidth="1"/>
    <col min="15887" max="15887" width="10" style="42" customWidth="1"/>
    <col min="15888" max="15888" width="10.42578125" style="42" customWidth="1"/>
    <col min="15889" max="15889" width="6.42578125" style="42" customWidth="1"/>
    <col min="15890" max="15890" width="8" style="42" customWidth="1"/>
    <col min="15891" max="15891" width="8.7109375" style="42" customWidth="1"/>
    <col min="15892" max="15892" width="8.28515625" style="42" customWidth="1"/>
    <col min="15893" max="16128" width="9.140625" style="42"/>
    <col min="16129" max="16129" width="3.28515625" style="42" customWidth="1"/>
    <col min="16130" max="16130" width="0.140625" style="42" customWidth="1"/>
    <col min="16131" max="16131" width="6.85546875" style="42" customWidth="1"/>
    <col min="16132" max="16132" width="9.140625" style="42" customWidth="1"/>
    <col min="16133" max="16133" width="13.140625" style="42" customWidth="1"/>
    <col min="16134" max="16134" width="8.140625" style="42" customWidth="1"/>
    <col min="16135" max="16135" width="16.28515625" style="42" customWidth="1"/>
    <col min="16136" max="16136" width="0" style="42" hidden="1" customWidth="1"/>
    <col min="16137" max="16137" width="10.42578125" style="42" customWidth="1"/>
    <col min="16138" max="16138" width="7.85546875" style="42" customWidth="1"/>
    <col min="16139" max="16139" width="11.28515625" style="42" customWidth="1"/>
    <col min="16140" max="16140" width="6.7109375" style="42" customWidth="1"/>
    <col min="16141" max="16141" width="10.7109375" style="42" customWidth="1"/>
    <col min="16142" max="16142" width="11" style="42" customWidth="1"/>
    <col min="16143" max="16143" width="10" style="42" customWidth="1"/>
    <col min="16144" max="16144" width="10.42578125" style="42" customWidth="1"/>
    <col min="16145" max="16145" width="6.42578125" style="42" customWidth="1"/>
    <col min="16146" max="16146" width="8" style="42" customWidth="1"/>
    <col min="16147" max="16147" width="8.7109375" style="42" customWidth="1"/>
    <col min="16148" max="16148" width="8.28515625" style="42" customWidth="1"/>
    <col min="16149" max="16384" width="9.140625" style="42"/>
  </cols>
  <sheetData>
    <row r="1" spans="1:20">
      <c r="A1" s="249"/>
      <c r="B1" s="249"/>
      <c r="C1" s="922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</row>
    <row r="2" spans="1:20">
      <c r="A2" s="249"/>
      <c r="B2" s="249"/>
      <c r="C2" s="1666" t="s">
        <v>706</v>
      </c>
      <c r="D2" s="1666"/>
      <c r="E2" s="1666"/>
      <c r="F2" s="1666"/>
      <c r="G2" s="1666"/>
      <c r="H2" s="1666"/>
      <c r="I2" s="1666"/>
      <c r="J2" s="1666"/>
      <c r="K2" s="1666"/>
      <c r="L2" s="1666"/>
      <c r="M2" s="1666"/>
      <c r="N2" s="1666"/>
      <c r="O2" s="1666"/>
      <c r="P2" s="1666"/>
      <c r="Q2" s="1666"/>
      <c r="R2" s="1666"/>
      <c r="S2" s="1666"/>
      <c r="T2" s="1666"/>
    </row>
    <row r="3" spans="1:20">
      <c r="A3" s="249"/>
      <c r="B3" s="249"/>
      <c r="C3" s="1667" t="s">
        <v>498</v>
      </c>
      <c r="D3" s="1667"/>
      <c r="E3" s="1667"/>
      <c r="F3" s="1667"/>
      <c r="G3" s="1667"/>
      <c r="H3" s="1667"/>
      <c r="I3" s="1667"/>
      <c r="J3" s="1667"/>
      <c r="K3" s="1667"/>
      <c r="L3" s="1667"/>
      <c r="M3" s="1667"/>
      <c r="N3" s="1667"/>
      <c r="O3" s="1667"/>
      <c r="P3" s="1667"/>
      <c r="Q3" s="1667"/>
      <c r="R3" s="1667"/>
      <c r="S3" s="1667"/>
      <c r="T3" s="1667"/>
    </row>
    <row r="4" spans="1:20">
      <c r="A4" s="1330"/>
      <c r="B4" s="1330"/>
      <c r="C4" s="1665" t="s">
        <v>63</v>
      </c>
      <c r="D4" s="1665" t="s">
        <v>25</v>
      </c>
      <c r="E4" s="1665" t="s">
        <v>96</v>
      </c>
      <c r="F4" s="1665" t="s">
        <v>707</v>
      </c>
      <c r="G4" s="1664" t="s">
        <v>502</v>
      </c>
      <c r="H4" s="1664"/>
      <c r="I4" s="1665" t="s">
        <v>98</v>
      </c>
      <c r="J4" s="1665" t="s">
        <v>708</v>
      </c>
      <c r="K4" s="1664" t="s">
        <v>67</v>
      </c>
      <c r="L4" s="1664"/>
      <c r="M4" s="1664"/>
      <c r="N4" s="1664"/>
      <c r="O4" s="1664"/>
      <c r="P4" s="1664"/>
      <c r="Q4" s="1664"/>
      <c r="R4" s="1664"/>
      <c r="S4" s="1664"/>
      <c r="T4" s="1664"/>
    </row>
    <row r="5" spans="1:20">
      <c r="A5" s="249"/>
      <c r="B5" s="249"/>
      <c r="C5" s="1665"/>
      <c r="D5" s="1665"/>
      <c r="E5" s="1665"/>
      <c r="F5" s="1665"/>
      <c r="G5" s="1664"/>
      <c r="H5" s="1664"/>
      <c r="I5" s="1665"/>
      <c r="J5" s="1665"/>
      <c r="K5" s="1665" t="s">
        <v>68</v>
      </c>
      <c r="L5" s="1171" t="s">
        <v>49</v>
      </c>
      <c r="M5" s="1171" t="s">
        <v>51</v>
      </c>
      <c r="N5" s="1171" t="s">
        <v>34</v>
      </c>
      <c r="O5" s="1171" t="s">
        <v>36</v>
      </c>
      <c r="P5" s="1171" t="s">
        <v>38</v>
      </c>
      <c r="Q5" s="1171"/>
      <c r="R5" s="1171" t="s">
        <v>42</v>
      </c>
      <c r="S5" s="1171" t="s">
        <v>44</v>
      </c>
      <c r="T5" s="1171" t="s">
        <v>46</v>
      </c>
    </row>
    <row r="6" spans="1:20" ht="54">
      <c r="A6" s="249"/>
      <c r="B6" s="249"/>
      <c r="C6" s="1665"/>
      <c r="D6" s="1665"/>
      <c r="E6" s="1665"/>
      <c r="F6" s="1665"/>
      <c r="G6" s="1664"/>
      <c r="H6" s="1664"/>
      <c r="I6" s="1665"/>
      <c r="J6" s="1665"/>
      <c r="K6" s="1665"/>
      <c r="L6" s="1172" t="s">
        <v>70</v>
      </c>
      <c r="M6" s="1172" t="s">
        <v>71</v>
      </c>
      <c r="N6" s="1172" t="s">
        <v>72</v>
      </c>
      <c r="O6" s="1172" t="s">
        <v>73</v>
      </c>
      <c r="P6" s="1172" t="s">
        <v>74</v>
      </c>
      <c r="Q6" s="1172"/>
      <c r="R6" s="1172" t="s">
        <v>76</v>
      </c>
      <c r="S6" s="1172" t="s">
        <v>77</v>
      </c>
      <c r="T6" s="1172" t="s">
        <v>709</v>
      </c>
    </row>
    <row r="7" spans="1:20" ht="24" customHeight="1">
      <c r="A7" s="249"/>
      <c r="B7" s="249"/>
      <c r="C7" s="1173" t="s">
        <v>179</v>
      </c>
      <c r="D7" s="1173" t="s">
        <v>151</v>
      </c>
      <c r="E7" s="1174" t="s">
        <v>152</v>
      </c>
      <c r="F7" s="1173" t="s">
        <v>272</v>
      </c>
      <c r="G7" s="1663" t="s">
        <v>273</v>
      </c>
      <c r="H7" s="1663"/>
      <c r="I7" s="1174" t="s">
        <v>81</v>
      </c>
      <c r="J7" s="1175">
        <v>98502</v>
      </c>
      <c r="K7" s="1176">
        <f>L7+M7+N7+O7+P7+Q7+R7+S7+T7</f>
        <v>1634800000</v>
      </c>
      <c r="L7" s="1176">
        <v>0</v>
      </c>
      <c r="M7" s="1176">
        <v>0</v>
      </c>
      <c r="N7" s="1177">
        <v>715336000</v>
      </c>
      <c r="O7" s="1177">
        <v>119300000</v>
      </c>
      <c r="P7" s="1177">
        <v>798164000</v>
      </c>
      <c r="Q7" s="1176"/>
      <c r="R7" s="1176">
        <v>0</v>
      </c>
      <c r="S7" s="1176">
        <v>0</v>
      </c>
      <c r="T7" s="1176">
        <v>2000000</v>
      </c>
    </row>
    <row r="8" spans="1:20" ht="24" customHeight="1">
      <c r="A8" s="249"/>
      <c r="B8" s="249"/>
      <c r="C8" s="1173" t="s">
        <v>179</v>
      </c>
      <c r="D8" s="1173" t="s">
        <v>151</v>
      </c>
      <c r="E8" s="1174" t="s">
        <v>152</v>
      </c>
      <c r="F8" s="1173" t="s">
        <v>272</v>
      </c>
      <c r="G8" s="1663" t="s">
        <v>273</v>
      </c>
      <c r="H8" s="1663"/>
      <c r="I8" s="1174" t="s">
        <v>82</v>
      </c>
      <c r="J8" s="1175">
        <v>98502</v>
      </c>
      <c r="K8" s="1176">
        <f t="shared" ref="K8:K15" si="0">L8+M8+N8+O8+P8+Q8+R8+S8+T8</f>
        <v>1634800000</v>
      </c>
      <c r="L8" s="1176">
        <v>0</v>
      </c>
      <c r="M8" s="1176">
        <v>0</v>
      </c>
      <c r="N8" s="1177">
        <v>715336000</v>
      </c>
      <c r="O8" s="1177">
        <v>119300000</v>
      </c>
      <c r="P8" s="1177">
        <v>798164000</v>
      </c>
      <c r="Q8" s="1176"/>
      <c r="R8" s="1176">
        <v>0</v>
      </c>
      <c r="S8" s="1176">
        <v>0</v>
      </c>
      <c r="T8" s="1176">
        <v>2000000</v>
      </c>
    </row>
    <row r="9" spans="1:20" ht="24" customHeight="1">
      <c r="A9" s="249"/>
      <c r="B9" s="249"/>
      <c r="C9" s="1173" t="s">
        <v>179</v>
      </c>
      <c r="D9" s="1173" t="s">
        <v>151</v>
      </c>
      <c r="E9" s="1174" t="s">
        <v>152</v>
      </c>
      <c r="F9" s="1173" t="s">
        <v>272</v>
      </c>
      <c r="G9" s="1663" t="s">
        <v>273</v>
      </c>
      <c r="H9" s="1663"/>
      <c r="I9" s="1178" t="s">
        <v>83</v>
      </c>
      <c r="J9" s="1179">
        <v>28592</v>
      </c>
      <c r="K9" s="1176">
        <f t="shared" si="0"/>
        <v>454499203</v>
      </c>
      <c r="L9" s="1176">
        <v>0</v>
      </c>
      <c r="M9" s="1176">
        <v>2456160</v>
      </c>
      <c r="N9" s="1177">
        <v>246002787</v>
      </c>
      <c r="O9" s="1177">
        <v>40384161</v>
      </c>
      <c r="P9" s="1177">
        <v>164866449</v>
      </c>
      <c r="Q9" s="1176"/>
      <c r="R9" s="1176">
        <v>0</v>
      </c>
      <c r="S9" s="1176">
        <v>0</v>
      </c>
      <c r="T9" s="1177">
        <v>789646</v>
      </c>
    </row>
    <row r="10" spans="1:20" ht="24" customHeight="1">
      <c r="A10" s="249"/>
      <c r="B10" s="249"/>
      <c r="C10" s="1173" t="s">
        <v>179</v>
      </c>
      <c r="D10" s="1173" t="s">
        <v>151</v>
      </c>
      <c r="E10" s="1174" t="s">
        <v>152</v>
      </c>
      <c r="F10" s="1173" t="s">
        <v>274</v>
      </c>
      <c r="G10" s="1663" t="s">
        <v>729</v>
      </c>
      <c r="H10" s="1663"/>
      <c r="I10" s="1174" t="s">
        <v>81</v>
      </c>
      <c r="J10" s="1176">
        <v>4</v>
      </c>
      <c r="K10" s="1176">
        <f t="shared" si="0"/>
        <v>290000000</v>
      </c>
      <c r="L10" s="1176">
        <v>0</v>
      </c>
      <c r="M10" s="1176">
        <v>290000000</v>
      </c>
      <c r="N10" s="1176">
        <v>0</v>
      </c>
      <c r="O10" s="1176">
        <v>0</v>
      </c>
      <c r="P10" s="1176">
        <v>0</v>
      </c>
      <c r="Q10" s="1176"/>
      <c r="R10" s="1176">
        <v>0</v>
      </c>
      <c r="S10" s="1176">
        <v>0</v>
      </c>
      <c r="T10" s="1176">
        <v>0</v>
      </c>
    </row>
    <row r="11" spans="1:20" ht="24" customHeight="1">
      <c r="A11" s="249"/>
      <c r="B11" s="249"/>
      <c r="C11" s="1173" t="s">
        <v>179</v>
      </c>
      <c r="D11" s="1173" t="s">
        <v>151</v>
      </c>
      <c r="E11" s="1174" t="s">
        <v>152</v>
      </c>
      <c r="F11" s="1173" t="s">
        <v>274</v>
      </c>
      <c r="G11" s="1663" t="s">
        <v>729</v>
      </c>
      <c r="H11" s="1663"/>
      <c r="I11" s="1174" t="s">
        <v>82</v>
      </c>
      <c r="J11" s="1180">
        <v>4</v>
      </c>
      <c r="K11" s="1176">
        <f t="shared" si="0"/>
        <v>290000000</v>
      </c>
      <c r="L11" s="1176">
        <v>0</v>
      </c>
      <c r="M11" s="255">
        <v>290000000</v>
      </c>
      <c r="N11" s="1176">
        <v>0</v>
      </c>
      <c r="O11" s="1176">
        <v>0</v>
      </c>
      <c r="P11" s="1176">
        <v>0</v>
      </c>
      <c r="Q11" s="1176"/>
      <c r="R11" s="1176">
        <v>0</v>
      </c>
      <c r="S11" s="1176">
        <v>0</v>
      </c>
      <c r="T11" s="1176">
        <v>0</v>
      </c>
    </row>
    <row r="12" spans="1:20" ht="24" customHeight="1">
      <c r="A12" s="249"/>
      <c r="B12" s="249"/>
      <c r="C12" s="1173" t="s">
        <v>179</v>
      </c>
      <c r="D12" s="1173" t="s">
        <v>151</v>
      </c>
      <c r="E12" s="1174" t="s">
        <v>152</v>
      </c>
      <c r="F12" s="1173" t="s">
        <v>274</v>
      </c>
      <c r="G12" s="1663" t="s">
        <v>729</v>
      </c>
      <c r="H12" s="1663"/>
      <c r="I12" s="1178" t="s">
        <v>83</v>
      </c>
      <c r="J12" s="1180">
        <v>0</v>
      </c>
      <c r="K12" s="1176">
        <f t="shared" si="0"/>
        <v>0</v>
      </c>
      <c r="L12" s="1176">
        <v>0</v>
      </c>
      <c r="M12" s="255">
        <v>0</v>
      </c>
      <c r="N12" s="1176">
        <v>0</v>
      </c>
      <c r="O12" s="1176">
        <v>0</v>
      </c>
      <c r="P12" s="1176">
        <v>0</v>
      </c>
      <c r="Q12" s="1176"/>
      <c r="R12" s="1176">
        <v>0</v>
      </c>
      <c r="S12" s="1176">
        <v>0</v>
      </c>
      <c r="T12" s="1176">
        <v>0</v>
      </c>
    </row>
    <row r="13" spans="1:20" ht="24" customHeight="1">
      <c r="A13" s="249"/>
      <c r="B13" s="249"/>
      <c r="C13" s="1173" t="s">
        <v>179</v>
      </c>
      <c r="D13" s="1173" t="s">
        <v>151</v>
      </c>
      <c r="E13" s="1174" t="s">
        <v>152</v>
      </c>
      <c r="F13" s="1173" t="s">
        <v>275</v>
      </c>
      <c r="G13" s="1663" t="s">
        <v>276</v>
      </c>
      <c r="H13" s="1663"/>
      <c r="I13" s="1174" t="s">
        <v>81</v>
      </c>
      <c r="J13" s="1181">
        <v>65</v>
      </c>
      <c r="K13" s="1176">
        <f t="shared" si="0"/>
        <v>200000000</v>
      </c>
      <c r="L13" s="1176">
        <v>0</v>
      </c>
      <c r="M13" s="1176">
        <v>200000000</v>
      </c>
      <c r="N13" s="1176">
        <v>0</v>
      </c>
      <c r="O13" s="1176">
        <v>0</v>
      </c>
      <c r="P13" s="1176">
        <v>0</v>
      </c>
      <c r="Q13" s="1176"/>
      <c r="R13" s="1176">
        <v>0</v>
      </c>
      <c r="S13" s="1176">
        <v>0</v>
      </c>
      <c r="T13" s="1176">
        <v>0</v>
      </c>
    </row>
    <row r="14" spans="1:20" ht="24" customHeight="1">
      <c r="A14" s="249"/>
      <c r="B14" s="249"/>
      <c r="C14" s="1173" t="s">
        <v>179</v>
      </c>
      <c r="D14" s="1173" t="s">
        <v>151</v>
      </c>
      <c r="E14" s="1174" t="s">
        <v>152</v>
      </c>
      <c r="F14" s="1173" t="s">
        <v>275</v>
      </c>
      <c r="G14" s="1663" t="s">
        <v>276</v>
      </c>
      <c r="H14" s="1663"/>
      <c r="I14" s="1174" t="s">
        <v>82</v>
      </c>
      <c r="J14" s="1181">
        <v>65</v>
      </c>
      <c r="K14" s="1176">
        <f>L14+M14+N14+O14+P14+Q14+R14+S14+T14</f>
        <v>200000000</v>
      </c>
      <c r="L14" s="1176">
        <v>0</v>
      </c>
      <c r="M14" s="1176">
        <v>200000000</v>
      </c>
      <c r="N14" s="1176">
        <v>0</v>
      </c>
      <c r="O14" s="1176">
        <v>0</v>
      </c>
      <c r="P14" s="1176">
        <v>0</v>
      </c>
      <c r="Q14" s="1176"/>
      <c r="R14" s="1176">
        <v>0</v>
      </c>
      <c r="S14" s="1176">
        <v>0</v>
      </c>
      <c r="T14" s="1176">
        <v>0</v>
      </c>
    </row>
    <row r="15" spans="1:20" ht="24" customHeight="1">
      <c r="A15" s="249"/>
      <c r="B15" s="249"/>
      <c r="C15" s="1173" t="s">
        <v>179</v>
      </c>
      <c r="D15" s="1173" t="s">
        <v>151</v>
      </c>
      <c r="E15" s="1174" t="s">
        <v>152</v>
      </c>
      <c r="F15" s="1173" t="s">
        <v>275</v>
      </c>
      <c r="G15" s="1663" t="s">
        <v>276</v>
      </c>
      <c r="H15" s="1663"/>
      <c r="I15" s="1178" t="s">
        <v>83</v>
      </c>
      <c r="J15" s="1181">
        <v>1</v>
      </c>
      <c r="K15" s="1176">
        <f t="shared" si="0"/>
        <v>2456160</v>
      </c>
      <c r="L15" s="1176">
        <v>0</v>
      </c>
      <c r="M15" s="1182">
        <v>2456160</v>
      </c>
      <c r="N15" s="1176">
        <v>0</v>
      </c>
      <c r="O15" s="1176">
        <v>0</v>
      </c>
      <c r="P15" s="1176">
        <v>0</v>
      </c>
      <c r="Q15" s="1176"/>
      <c r="R15" s="1176">
        <v>0</v>
      </c>
      <c r="S15" s="1176">
        <v>0</v>
      </c>
      <c r="T15" s="1176">
        <v>0</v>
      </c>
    </row>
    <row r="16" spans="1:20" ht="24" customHeight="1">
      <c r="A16" s="249"/>
      <c r="B16" s="249"/>
      <c r="C16" s="1173" t="s">
        <v>179</v>
      </c>
      <c r="D16" s="1173" t="s">
        <v>151</v>
      </c>
      <c r="E16" s="1174" t="s">
        <v>152</v>
      </c>
      <c r="F16" s="1173" t="s">
        <v>601</v>
      </c>
      <c r="G16" s="1663" t="s">
        <v>602</v>
      </c>
      <c r="H16" s="1663"/>
      <c r="I16" s="1174" t="s">
        <v>81</v>
      </c>
      <c r="J16" s="1181">
        <v>510</v>
      </c>
      <c r="K16" s="1176">
        <f>L16+M16+N16+O16+P16+Q16+R16+S16+T16</f>
        <v>10000000</v>
      </c>
      <c r="L16" s="1176">
        <v>0</v>
      </c>
      <c r="M16" s="1176">
        <v>10000000</v>
      </c>
      <c r="N16" s="1176">
        <v>0</v>
      </c>
      <c r="O16" s="1176">
        <v>0</v>
      </c>
      <c r="P16" s="1176">
        <v>0</v>
      </c>
      <c r="Q16" s="1176"/>
      <c r="R16" s="1176">
        <v>0</v>
      </c>
      <c r="S16" s="1176">
        <v>0</v>
      </c>
      <c r="T16" s="1176">
        <v>0</v>
      </c>
    </row>
    <row r="17" spans="1:20" ht="24" customHeight="1">
      <c r="A17" s="249"/>
      <c r="B17" s="249"/>
      <c r="C17" s="1173" t="s">
        <v>179</v>
      </c>
      <c r="D17" s="1173" t="s">
        <v>151</v>
      </c>
      <c r="E17" s="1174" t="s">
        <v>152</v>
      </c>
      <c r="F17" s="1173" t="s">
        <v>601</v>
      </c>
      <c r="G17" s="1663" t="s">
        <v>602</v>
      </c>
      <c r="H17" s="1663"/>
      <c r="I17" s="1174" t="s">
        <v>82</v>
      </c>
      <c r="J17" s="1181">
        <v>510</v>
      </c>
      <c r="K17" s="1176">
        <f>L17+M17+N17+O17+P17+Q17+R17+S17+T17</f>
        <v>10000000</v>
      </c>
      <c r="L17" s="1176">
        <v>0</v>
      </c>
      <c r="M17" s="1176">
        <v>10000000</v>
      </c>
      <c r="N17" s="1176">
        <v>0</v>
      </c>
      <c r="O17" s="1176">
        <v>0</v>
      </c>
      <c r="P17" s="1176">
        <v>0</v>
      </c>
      <c r="Q17" s="1176"/>
      <c r="R17" s="1176">
        <v>0</v>
      </c>
      <c r="S17" s="1176">
        <v>0</v>
      </c>
      <c r="T17" s="1176">
        <v>0</v>
      </c>
    </row>
    <row r="18" spans="1:20" ht="24" customHeight="1">
      <c r="A18" s="249"/>
      <c r="B18" s="249"/>
      <c r="C18" s="1173" t="s">
        <v>179</v>
      </c>
      <c r="D18" s="1173" t="s">
        <v>151</v>
      </c>
      <c r="E18" s="1174" t="s">
        <v>152</v>
      </c>
      <c r="F18" s="1173" t="s">
        <v>601</v>
      </c>
      <c r="G18" s="1663" t="s">
        <v>602</v>
      </c>
      <c r="H18" s="1663"/>
      <c r="I18" s="1178" t="s">
        <v>83</v>
      </c>
      <c r="J18" s="1181">
        <v>0</v>
      </c>
      <c r="K18" s="1176">
        <f>L18+M18+N18+O18+P18+Q18+R18+S18+T18</f>
        <v>0</v>
      </c>
      <c r="L18" s="1176">
        <v>0</v>
      </c>
      <c r="M18" s="257">
        <v>0</v>
      </c>
      <c r="N18" s="1176">
        <v>0</v>
      </c>
      <c r="O18" s="1176">
        <v>0</v>
      </c>
      <c r="P18" s="1176">
        <v>0</v>
      </c>
      <c r="Q18" s="1176"/>
      <c r="R18" s="1176">
        <v>0</v>
      </c>
      <c r="S18" s="1176">
        <v>0</v>
      </c>
      <c r="T18" s="1176">
        <v>0</v>
      </c>
    </row>
    <row r="19" spans="1:20" ht="24" customHeight="1">
      <c r="A19" s="249"/>
      <c r="B19" s="249"/>
      <c r="C19" s="1173"/>
      <c r="D19" s="1173"/>
      <c r="E19" s="1174"/>
      <c r="F19" s="1173"/>
      <c r="G19" s="1663" t="s">
        <v>714</v>
      </c>
      <c r="H19" s="1663"/>
      <c r="I19" s="1174" t="s">
        <v>81</v>
      </c>
      <c r="J19" s="1181"/>
      <c r="K19" s="1176">
        <f>L19+M19+N19+O19+P19+Q19+R19+S19+T19</f>
        <v>2134800000</v>
      </c>
      <c r="L19" s="1176">
        <v>0</v>
      </c>
      <c r="M19" s="1176">
        <f>M7+M10+M13+M16</f>
        <v>500000000</v>
      </c>
      <c r="N19" s="1176">
        <f t="shared" ref="N19:T19" si="1">N7+N10+N13+N16</f>
        <v>715336000</v>
      </c>
      <c r="O19" s="1176">
        <f t="shared" si="1"/>
        <v>119300000</v>
      </c>
      <c r="P19" s="1176">
        <f t="shared" si="1"/>
        <v>798164000</v>
      </c>
      <c r="Q19" s="1176">
        <f t="shared" si="1"/>
        <v>0</v>
      </c>
      <c r="R19" s="1176">
        <f t="shared" si="1"/>
        <v>0</v>
      </c>
      <c r="S19" s="1176">
        <f t="shared" si="1"/>
        <v>0</v>
      </c>
      <c r="T19" s="1176">
        <f t="shared" si="1"/>
        <v>2000000</v>
      </c>
    </row>
    <row r="20" spans="1:20" ht="24" customHeight="1">
      <c r="A20" s="249"/>
      <c r="B20" s="249"/>
      <c r="C20" s="1173"/>
      <c r="D20" s="1173"/>
      <c r="E20" s="1174"/>
      <c r="F20" s="1173"/>
      <c r="G20" s="1663" t="s">
        <v>714</v>
      </c>
      <c r="H20" s="1663"/>
      <c r="I20" s="1174" t="s">
        <v>82</v>
      </c>
      <c r="J20" s="1181"/>
      <c r="K20" s="1176">
        <f>L20+M20+N20+O20+P20+Q20+R20+S20+T20</f>
        <v>2134800000</v>
      </c>
      <c r="L20" s="1176">
        <v>0</v>
      </c>
      <c r="M20" s="1176">
        <f t="shared" ref="M20:T20" si="2">M8+M11+M14+M17</f>
        <v>500000000</v>
      </c>
      <c r="N20" s="1176">
        <f t="shared" si="2"/>
        <v>715336000</v>
      </c>
      <c r="O20" s="1176">
        <f t="shared" si="2"/>
        <v>119300000</v>
      </c>
      <c r="P20" s="1176">
        <f t="shared" si="2"/>
        <v>798164000</v>
      </c>
      <c r="Q20" s="1176">
        <f t="shared" si="2"/>
        <v>0</v>
      </c>
      <c r="R20" s="1176">
        <f t="shared" si="2"/>
        <v>0</v>
      </c>
      <c r="S20" s="1176">
        <f t="shared" si="2"/>
        <v>0</v>
      </c>
      <c r="T20" s="1176">
        <f t="shared" si="2"/>
        <v>2000000</v>
      </c>
    </row>
    <row r="21" spans="1:20" ht="16.5" customHeight="1">
      <c r="A21" s="249"/>
      <c r="B21" s="249"/>
      <c r="C21" s="1173"/>
      <c r="D21" s="1173"/>
      <c r="E21" s="1174"/>
      <c r="F21" s="1173"/>
      <c r="G21" s="1663" t="s">
        <v>714</v>
      </c>
      <c r="H21" s="1663"/>
      <c r="I21" s="1178" t="s">
        <v>83</v>
      </c>
      <c r="J21" s="1181"/>
      <c r="K21" s="1176">
        <f>K9</f>
        <v>454499203</v>
      </c>
      <c r="L21" s="1176">
        <f t="shared" ref="L21:T21" si="3">L9</f>
        <v>0</v>
      </c>
      <c r="M21" s="1176">
        <f t="shared" si="3"/>
        <v>2456160</v>
      </c>
      <c r="N21" s="1176">
        <f t="shared" si="3"/>
        <v>246002787</v>
      </c>
      <c r="O21" s="1176">
        <f t="shared" si="3"/>
        <v>40384161</v>
      </c>
      <c r="P21" s="1176">
        <f t="shared" si="3"/>
        <v>164866449</v>
      </c>
      <c r="Q21" s="1176">
        <f t="shared" si="3"/>
        <v>0</v>
      </c>
      <c r="R21" s="1176">
        <f t="shared" si="3"/>
        <v>0</v>
      </c>
      <c r="S21" s="1176">
        <f t="shared" si="3"/>
        <v>0</v>
      </c>
      <c r="T21" s="1176">
        <f t="shared" si="3"/>
        <v>789646</v>
      </c>
    </row>
    <row r="22" spans="1:20" hidden="1">
      <c r="A22" s="249"/>
      <c r="B22" s="1330"/>
      <c r="C22" s="1330"/>
      <c r="D22" s="249"/>
      <c r="E22" s="249"/>
      <c r="F22" s="249"/>
      <c r="G22" s="249"/>
      <c r="H22" s="249"/>
      <c r="I22" s="249"/>
      <c r="J22" s="249"/>
      <c r="K22" s="1183">
        <f>K10+K13+K16</f>
        <v>500000000</v>
      </c>
      <c r="L22" s="1183">
        <f t="shared" ref="L22:M22" si="4">L10+L13+L16</f>
        <v>0</v>
      </c>
      <c r="M22" s="1183">
        <f t="shared" si="4"/>
        <v>500000000</v>
      </c>
      <c r="N22" s="249"/>
      <c r="O22" s="249"/>
      <c r="P22" s="249"/>
      <c r="Q22" s="249"/>
      <c r="R22" s="249"/>
      <c r="S22" s="249"/>
      <c r="T22" s="249"/>
    </row>
    <row r="23" spans="1:20" hidden="1">
      <c r="K23" s="1183">
        <f>K11+K14+K17</f>
        <v>500000000</v>
      </c>
      <c r="L23" s="1183">
        <f t="shared" ref="L23:M24" si="5">L11+L14+L17</f>
        <v>0</v>
      </c>
      <c r="M23" s="1183">
        <f t="shared" si="5"/>
        <v>500000000</v>
      </c>
    </row>
    <row r="24" spans="1:20" hidden="1">
      <c r="K24" s="1183">
        <f>K12+K15+K18</f>
        <v>2456160</v>
      </c>
      <c r="L24" s="1183">
        <f t="shared" si="5"/>
        <v>0</v>
      </c>
      <c r="M24" s="1183">
        <f t="shared" si="5"/>
        <v>2456160</v>
      </c>
    </row>
    <row r="25" spans="1:20" hidden="1"/>
  </sheetData>
  <mergeCells count="28">
    <mergeCell ref="G15:H15"/>
    <mergeCell ref="G16:H16"/>
    <mergeCell ref="C2:T2"/>
    <mergeCell ref="C3:T3"/>
    <mergeCell ref="A4:B4"/>
    <mergeCell ref="C4:C6"/>
    <mergeCell ref="D4:D6"/>
    <mergeCell ref="E4:E6"/>
    <mergeCell ref="F4:F6"/>
    <mergeCell ref="G4:H6"/>
    <mergeCell ref="I4:I6"/>
    <mergeCell ref="J4:J6"/>
    <mergeCell ref="G17:H17"/>
    <mergeCell ref="G18:H18"/>
    <mergeCell ref="B22:C22"/>
    <mergeCell ref="K4:T4"/>
    <mergeCell ref="K5:K6"/>
    <mergeCell ref="G7:H7"/>
    <mergeCell ref="G8:H8"/>
    <mergeCell ref="G9:H9"/>
    <mergeCell ref="G21:H21"/>
    <mergeCell ref="G10:H10"/>
    <mergeCell ref="G11:H11"/>
    <mergeCell ref="G12:H12"/>
    <mergeCell ref="G13:H13"/>
    <mergeCell ref="G19:H19"/>
    <mergeCell ref="G20:H20"/>
    <mergeCell ref="G14:H1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79998168889431442"/>
  </sheetPr>
  <dimension ref="A1:S27"/>
  <sheetViews>
    <sheetView topLeftCell="C1" workbookViewId="0">
      <selection activeCell="C13" sqref="C13"/>
    </sheetView>
  </sheetViews>
  <sheetFormatPr defaultRowHeight="11.25"/>
  <cols>
    <col min="1" max="1" width="0" style="862" hidden="1" customWidth="1"/>
    <col min="2" max="2" width="9.140625" style="862" hidden="1" customWidth="1"/>
    <col min="3" max="3" width="6" style="862" customWidth="1"/>
    <col min="4" max="4" width="8.42578125" style="862" customWidth="1"/>
    <col min="5" max="5" width="20.140625" style="862" customWidth="1"/>
    <col min="6" max="6" width="9.140625" style="862"/>
    <col min="7" max="7" width="39.85546875" style="862" customWidth="1"/>
    <col min="8" max="8" width="12.28515625" style="909" customWidth="1"/>
    <col min="9" max="9" width="14.140625" style="862" customWidth="1"/>
    <col min="10" max="10" width="17.5703125" style="862" customWidth="1"/>
    <col min="11" max="16" width="7.28515625" style="862" customWidth="1"/>
    <col min="17" max="17" width="12.85546875" style="862" customWidth="1"/>
    <col min="18" max="19" width="9.140625" style="862" customWidth="1"/>
    <col min="20" max="20" width="14" style="862" bestFit="1" customWidth="1"/>
    <col min="21" max="16384" width="9.140625" style="862"/>
  </cols>
  <sheetData>
    <row r="1" spans="1:19">
      <c r="A1" s="860"/>
      <c r="B1" s="860"/>
      <c r="C1" s="861"/>
      <c r="D1" s="860"/>
      <c r="E1" s="860"/>
      <c r="F1" s="860"/>
      <c r="G1" s="860"/>
      <c r="H1" s="907"/>
      <c r="I1" s="860"/>
      <c r="J1" s="860"/>
      <c r="K1" s="860"/>
      <c r="L1" s="860"/>
      <c r="M1" s="860"/>
      <c r="N1" s="860"/>
      <c r="O1" s="860"/>
      <c r="P1" s="860"/>
      <c r="Q1" s="860"/>
      <c r="R1" s="860"/>
      <c r="S1" s="860"/>
    </row>
    <row r="2" spans="1:19">
      <c r="A2" s="860"/>
      <c r="B2" s="860"/>
      <c r="C2" s="1597" t="s">
        <v>706</v>
      </c>
      <c r="D2" s="1597"/>
      <c r="E2" s="1597"/>
      <c r="F2" s="1597"/>
      <c r="G2" s="1597"/>
      <c r="H2" s="1597"/>
      <c r="I2" s="1597"/>
      <c r="J2" s="1597"/>
      <c r="K2" s="1597"/>
      <c r="L2" s="1597"/>
      <c r="M2" s="1597"/>
      <c r="N2" s="1597"/>
      <c r="O2" s="1597"/>
      <c r="P2" s="1597"/>
      <c r="Q2" s="1597"/>
      <c r="R2" s="1597"/>
      <c r="S2" s="1597"/>
    </row>
    <row r="3" spans="1:19">
      <c r="A3" s="860"/>
      <c r="B3" s="860"/>
      <c r="C3" s="1598" t="s">
        <v>540</v>
      </c>
      <c r="D3" s="1598"/>
      <c r="E3" s="1598"/>
      <c r="F3" s="1598"/>
      <c r="G3" s="1598"/>
      <c r="H3" s="1598"/>
      <c r="I3" s="1598"/>
      <c r="J3" s="1598"/>
      <c r="K3" s="1598"/>
      <c r="L3" s="1598"/>
      <c r="M3" s="1598"/>
      <c r="N3" s="1598"/>
      <c r="O3" s="1598"/>
      <c r="P3" s="1598"/>
      <c r="Q3" s="1598"/>
      <c r="R3" s="1598"/>
      <c r="S3" s="1598"/>
    </row>
    <row r="4" spans="1:19" ht="12" thickBot="1">
      <c r="A4" s="860"/>
      <c r="B4" s="860"/>
      <c r="C4" s="906"/>
      <c r="D4" s="906"/>
      <c r="E4" s="906"/>
      <c r="F4" s="906"/>
      <c r="G4" s="906"/>
      <c r="H4" s="908"/>
      <c r="I4" s="906"/>
      <c r="J4" s="906"/>
      <c r="K4" s="906"/>
      <c r="L4" s="906"/>
      <c r="M4" s="906"/>
      <c r="N4" s="906"/>
      <c r="O4" s="906"/>
      <c r="P4" s="906"/>
      <c r="Q4" s="906"/>
      <c r="R4" s="906"/>
      <c r="S4" s="906"/>
    </row>
    <row r="5" spans="1:19" ht="12" thickBot="1">
      <c r="A5" s="1592"/>
      <c r="B5" s="1592"/>
      <c r="C5" s="1599" t="s">
        <v>63</v>
      </c>
      <c r="D5" s="1602" t="s">
        <v>25</v>
      </c>
      <c r="E5" s="1602" t="s">
        <v>96</v>
      </c>
      <c r="F5" s="1602" t="s">
        <v>707</v>
      </c>
      <c r="G5" s="1602" t="s">
        <v>502</v>
      </c>
      <c r="H5" s="1602" t="s">
        <v>98</v>
      </c>
      <c r="I5" s="1602" t="s">
        <v>708</v>
      </c>
      <c r="J5" s="1593" t="s">
        <v>67</v>
      </c>
      <c r="K5" s="1593"/>
      <c r="L5" s="1593"/>
      <c r="M5" s="1593"/>
      <c r="N5" s="1593"/>
      <c r="O5" s="1593"/>
      <c r="P5" s="1593"/>
      <c r="Q5" s="1593"/>
      <c r="R5" s="1593"/>
      <c r="S5" s="1594"/>
    </row>
    <row r="6" spans="1:19" ht="12.75" thickTop="1" thickBot="1">
      <c r="A6" s="860"/>
      <c r="B6" s="860"/>
      <c r="C6" s="1600"/>
      <c r="D6" s="1603"/>
      <c r="E6" s="1603"/>
      <c r="F6" s="1603"/>
      <c r="G6" s="1603"/>
      <c r="H6" s="1603"/>
      <c r="I6" s="1603"/>
      <c r="J6" s="1595" t="s">
        <v>68</v>
      </c>
      <c r="K6" s="863" t="s">
        <v>49</v>
      </c>
      <c r="L6" s="863" t="s">
        <v>51</v>
      </c>
      <c r="M6" s="863" t="s">
        <v>34</v>
      </c>
      <c r="N6" s="863" t="s">
        <v>36</v>
      </c>
      <c r="O6" s="863" t="s">
        <v>38</v>
      </c>
      <c r="P6" s="863" t="s">
        <v>40</v>
      </c>
      <c r="Q6" s="863" t="s">
        <v>42</v>
      </c>
      <c r="R6" s="863" t="s">
        <v>44</v>
      </c>
      <c r="S6" s="883" t="s">
        <v>46</v>
      </c>
    </row>
    <row r="7" spans="1:19" ht="54.75" customHeight="1" thickTop="1">
      <c r="A7" s="860"/>
      <c r="B7" s="860"/>
      <c r="C7" s="1601"/>
      <c r="D7" s="1604"/>
      <c r="E7" s="1604"/>
      <c r="F7" s="1604"/>
      <c r="G7" s="1604"/>
      <c r="H7" s="1604"/>
      <c r="I7" s="1604"/>
      <c r="J7" s="1596"/>
      <c r="K7" s="910" t="s">
        <v>70</v>
      </c>
      <c r="L7" s="910" t="s">
        <v>71</v>
      </c>
      <c r="M7" s="910" t="s">
        <v>72</v>
      </c>
      <c r="N7" s="910" t="s">
        <v>73</v>
      </c>
      <c r="O7" s="910" t="s">
        <v>74</v>
      </c>
      <c r="P7" s="910" t="s">
        <v>75</v>
      </c>
      <c r="Q7" s="870" t="s">
        <v>76</v>
      </c>
      <c r="R7" s="870" t="s">
        <v>77</v>
      </c>
      <c r="S7" s="884" t="s">
        <v>709</v>
      </c>
    </row>
    <row r="8" spans="1:19" ht="33.75" customHeight="1">
      <c r="A8" s="860"/>
      <c r="B8" s="860"/>
      <c r="C8" s="885" t="s">
        <v>179</v>
      </c>
      <c r="D8" s="876">
        <v>10270</v>
      </c>
      <c r="E8" s="877" t="s">
        <v>156</v>
      </c>
      <c r="F8" s="913" t="s">
        <v>180</v>
      </c>
      <c r="G8" s="914" t="s">
        <v>181</v>
      </c>
      <c r="H8" s="876" t="s">
        <v>81</v>
      </c>
      <c r="I8" s="902">
        <v>26539</v>
      </c>
      <c r="J8" s="903">
        <v>1799943251</v>
      </c>
      <c r="K8" s="879"/>
      <c r="L8" s="879"/>
      <c r="M8" s="880"/>
      <c r="N8" s="880"/>
      <c r="O8" s="880"/>
      <c r="P8" s="880"/>
      <c r="Q8" s="879">
        <f>J8</f>
        <v>1799943251</v>
      </c>
      <c r="R8" s="880"/>
      <c r="S8" s="886"/>
    </row>
    <row r="9" spans="1:19" ht="33.75" customHeight="1">
      <c r="A9" s="860"/>
      <c r="B9" s="860"/>
      <c r="C9" s="885" t="s">
        <v>179</v>
      </c>
      <c r="D9" s="876">
        <v>10270</v>
      </c>
      <c r="E9" s="877" t="s">
        <v>156</v>
      </c>
      <c r="F9" s="913" t="s">
        <v>180</v>
      </c>
      <c r="G9" s="914" t="s">
        <v>181</v>
      </c>
      <c r="H9" s="876" t="s">
        <v>82</v>
      </c>
      <c r="I9" s="902">
        <v>26539</v>
      </c>
      <c r="J9" s="903">
        <v>1799943251</v>
      </c>
      <c r="K9" s="879"/>
      <c r="L9" s="879"/>
      <c r="M9" s="880"/>
      <c r="N9" s="880"/>
      <c r="O9" s="880"/>
      <c r="P9" s="880"/>
      <c r="Q9" s="879">
        <f t="shared" ref="Q9:Q10" si="0">J9</f>
        <v>1799943251</v>
      </c>
      <c r="R9" s="880"/>
      <c r="S9" s="886"/>
    </row>
    <row r="10" spans="1:19" ht="33.75" customHeight="1">
      <c r="A10" s="860"/>
      <c r="B10" s="860"/>
      <c r="C10" s="885" t="s">
        <v>179</v>
      </c>
      <c r="D10" s="876">
        <v>10270</v>
      </c>
      <c r="E10" s="877" t="s">
        <v>156</v>
      </c>
      <c r="F10" s="913" t="s">
        <v>180</v>
      </c>
      <c r="G10" s="914" t="s">
        <v>181</v>
      </c>
      <c r="H10" s="876" t="s">
        <v>83</v>
      </c>
      <c r="I10" s="879">
        <f>I9/3</f>
        <v>8846.3333333333339</v>
      </c>
      <c r="J10" s="879">
        <v>692291000</v>
      </c>
      <c r="K10" s="879"/>
      <c r="L10" s="879"/>
      <c r="M10" s="881"/>
      <c r="N10" s="881"/>
      <c r="O10" s="881"/>
      <c r="P10" s="881"/>
      <c r="Q10" s="879">
        <f t="shared" si="0"/>
        <v>692291000</v>
      </c>
      <c r="R10" s="881"/>
      <c r="S10" s="887"/>
    </row>
    <row r="11" spans="1:19" ht="33.75" customHeight="1">
      <c r="A11" s="860"/>
      <c r="B11" s="860"/>
      <c r="C11" s="885" t="s">
        <v>179</v>
      </c>
      <c r="D11" s="876">
        <v>10270</v>
      </c>
      <c r="E11" s="877" t="s">
        <v>156</v>
      </c>
      <c r="F11" s="913" t="s">
        <v>182</v>
      </c>
      <c r="G11" s="914" t="s">
        <v>533</v>
      </c>
      <c r="H11" s="876" t="s">
        <v>81</v>
      </c>
      <c r="I11" s="879">
        <v>211</v>
      </c>
      <c r="J11" s="879">
        <v>84438886</v>
      </c>
      <c r="K11" s="879"/>
      <c r="L11" s="879"/>
      <c r="M11" s="881"/>
      <c r="N11" s="881"/>
      <c r="O11" s="881"/>
      <c r="P11" s="881"/>
      <c r="Q11" s="881">
        <f>J11</f>
        <v>84438886</v>
      </c>
      <c r="R11" s="881"/>
      <c r="S11" s="887"/>
    </row>
    <row r="12" spans="1:19" ht="33.75" customHeight="1">
      <c r="A12" s="860"/>
      <c r="B12" s="860"/>
      <c r="C12" s="885" t="s">
        <v>179</v>
      </c>
      <c r="D12" s="876">
        <v>10270</v>
      </c>
      <c r="E12" s="877" t="s">
        <v>156</v>
      </c>
      <c r="F12" s="913" t="s">
        <v>182</v>
      </c>
      <c r="G12" s="914" t="s">
        <v>533</v>
      </c>
      <c r="H12" s="876" t="s">
        <v>82</v>
      </c>
      <c r="I12" s="879">
        <v>211</v>
      </c>
      <c r="J12" s="879">
        <v>84438886</v>
      </c>
      <c r="K12" s="879"/>
      <c r="L12" s="879"/>
      <c r="M12" s="881"/>
      <c r="N12" s="881"/>
      <c r="O12" s="881"/>
      <c r="P12" s="881"/>
      <c r="Q12" s="881">
        <f t="shared" ref="Q12:Q22" si="1">J12</f>
        <v>84438886</v>
      </c>
      <c r="R12" s="881"/>
      <c r="S12" s="887"/>
    </row>
    <row r="13" spans="1:19" ht="33.75" customHeight="1">
      <c r="A13" s="860"/>
      <c r="B13" s="860"/>
      <c r="C13" s="885" t="s">
        <v>179</v>
      </c>
      <c r="D13" s="876">
        <v>10270</v>
      </c>
      <c r="E13" s="877" t="s">
        <v>156</v>
      </c>
      <c r="F13" s="913" t="s">
        <v>182</v>
      </c>
      <c r="G13" s="914" t="s">
        <v>533</v>
      </c>
      <c r="H13" s="876" t="s">
        <v>83</v>
      </c>
      <c r="I13" s="879">
        <f>I12/3</f>
        <v>70.333333333333329</v>
      </c>
      <c r="J13" s="879">
        <v>32477000</v>
      </c>
      <c r="K13" s="879"/>
      <c r="L13" s="879"/>
      <c r="M13" s="881"/>
      <c r="N13" s="881"/>
      <c r="O13" s="881"/>
      <c r="P13" s="881"/>
      <c r="Q13" s="881">
        <f t="shared" si="1"/>
        <v>32477000</v>
      </c>
      <c r="R13" s="881"/>
      <c r="S13" s="887"/>
    </row>
    <row r="14" spans="1:19" ht="33.75" customHeight="1">
      <c r="A14" s="860"/>
      <c r="B14" s="860"/>
      <c r="C14" s="885" t="s">
        <v>179</v>
      </c>
      <c r="D14" s="876">
        <v>10270</v>
      </c>
      <c r="E14" s="877" t="s">
        <v>156</v>
      </c>
      <c r="F14" s="913" t="s">
        <v>183</v>
      </c>
      <c r="G14" s="914" t="s">
        <v>535</v>
      </c>
      <c r="H14" s="876" t="s">
        <v>81</v>
      </c>
      <c r="I14" s="902">
        <v>186</v>
      </c>
      <c r="J14" s="903">
        <v>57919456</v>
      </c>
      <c r="K14" s="879"/>
      <c r="L14" s="879"/>
      <c r="M14" s="881"/>
      <c r="N14" s="881"/>
      <c r="O14" s="881"/>
      <c r="P14" s="881"/>
      <c r="Q14" s="881">
        <f t="shared" si="1"/>
        <v>57919456</v>
      </c>
      <c r="R14" s="881"/>
      <c r="S14" s="887"/>
    </row>
    <row r="15" spans="1:19" ht="33.75" customHeight="1">
      <c r="A15" s="860"/>
      <c r="B15" s="860"/>
      <c r="C15" s="885" t="s">
        <v>179</v>
      </c>
      <c r="D15" s="876">
        <v>10270</v>
      </c>
      <c r="E15" s="877" t="s">
        <v>156</v>
      </c>
      <c r="F15" s="913" t="s">
        <v>183</v>
      </c>
      <c r="G15" s="914" t="s">
        <v>535</v>
      </c>
      <c r="H15" s="876" t="s">
        <v>82</v>
      </c>
      <c r="I15" s="902">
        <v>186</v>
      </c>
      <c r="J15" s="903">
        <v>57919456</v>
      </c>
      <c r="K15" s="879"/>
      <c r="L15" s="879"/>
      <c r="M15" s="881"/>
      <c r="N15" s="881"/>
      <c r="O15" s="881"/>
      <c r="P15" s="881"/>
      <c r="Q15" s="881">
        <f t="shared" si="1"/>
        <v>57919456</v>
      </c>
      <c r="R15" s="881"/>
      <c r="S15" s="887"/>
    </row>
    <row r="16" spans="1:19" ht="33.75" customHeight="1">
      <c r="A16" s="860"/>
      <c r="B16" s="860"/>
      <c r="C16" s="885" t="s">
        <v>179</v>
      </c>
      <c r="D16" s="876">
        <v>10270</v>
      </c>
      <c r="E16" s="877" t="s">
        <v>156</v>
      </c>
      <c r="F16" s="913" t="s">
        <v>183</v>
      </c>
      <c r="G16" s="914" t="s">
        <v>535</v>
      </c>
      <c r="H16" s="876" t="s">
        <v>83</v>
      </c>
      <c r="I16" s="879">
        <f>I15/3</f>
        <v>62</v>
      </c>
      <c r="J16" s="879">
        <v>22277000</v>
      </c>
      <c r="K16" s="879"/>
      <c r="L16" s="879"/>
      <c r="M16" s="881"/>
      <c r="N16" s="881"/>
      <c r="O16" s="881"/>
      <c r="P16" s="881"/>
      <c r="Q16" s="881">
        <f t="shared" si="1"/>
        <v>22277000</v>
      </c>
      <c r="R16" s="881"/>
      <c r="S16" s="887"/>
    </row>
    <row r="17" spans="1:19" ht="33.75" customHeight="1">
      <c r="A17" s="860"/>
      <c r="B17" s="860"/>
      <c r="C17" s="885" t="s">
        <v>179</v>
      </c>
      <c r="D17" s="876">
        <v>10270</v>
      </c>
      <c r="E17" s="877" t="s">
        <v>156</v>
      </c>
      <c r="F17" s="913" t="s">
        <v>184</v>
      </c>
      <c r="G17" s="914" t="s">
        <v>536</v>
      </c>
      <c r="H17" s="876" t="s">
        <v>81</v>
      </c>
      <c r="I17" s="902">
        <v>52</v>
      </c>
      <c r="J17" s="903">
        <v>13650961</v>
      </c>
      <c r="K17" s="879"/>
      <c r="L17" s="879"/>
      <c r="M17" s="881"/>
      <c r="N17" s="881"/>
      <c r="O17" s="881"/>
      <c r="P17" s="881"/>
      <c r="Q17" s="881">
        <f t="shared" si="1"/>
        <v>13650961</v>
      </c>
      <c r="R17" s="881"/>
      <c r="S17" s="887"/>
    </row>
    <row r="18" spans="1:19" ht="33.75" customHeight="1">
      <c r="A18" s="860"/>
      <c r="B18" s="860"/>
      <c r="C18" s="885" t="s">
        <v>179</v>
      </c>
      <c r="D18" s="876">
        <v>10270</v>
      </c>
      <c r="E18" s="877" t="s">
        <v>156</v>
      </c>
      <c r="F18" s="913" t="s">
        <v>184</v>
      </c>
      <c r="G18" s="914" t="s">
        <v>536</v>
      </c>
      <c r="H18" s="876" t="s">
        <v>82</v>
      </c>
      <c r="I18" s="902">
        <v>52</v>
      </c>
      <c r="J18" s="903">
        <v>13650961</v>
      </c>
      <c r="K18" s="879"/>
      <c r="L18" s="879"/>
      <c r="M18" s="881"/>
      <c r="N18" s="881"/>
      <c r="O18" s="881"/>
      <c r="P18" s="881"/>
      <c r="Q18" s="881">
        <f t="shared" si="1"/>
        <v>13650961</v>
      </c>
      <c r="R18" s="881"/>
      <c r="S18" s="887"/>
    </row>
    <row r="19" spans="1:19" ht="33.75" customHeight="1">
      <c r="A19" s="860"/>
      <c r="B19" s="860"/>
      <c r="C19" s="885" t="s">
        <v>179</v>
      </c>
      <c r="D19" s="876">
        <v>10270</v>
      </c>
      <c r="E19" s="877" t="s">
        <v>156</v>
      </c>
      <c r="F19" s="913" t="s">
        <v>184</v>
      </c>
      <c r="G19" s="914" t="s">
        <v>536</v>
      </c>
      <c r="H19" s="876" t="s">
        <v>83</v>
      </c>
      <c r="I19" s="879">
        <f>I18/3</f>
        <v>17.333333333333332</v>
      </c>
      <c r="J19" s="904">
        <v>5247000</v>
      </c>
      <c r="K19" s="879"/>
      <c r="L19" s="879"/>
      <c r="M19" s="881"/>
      <c r="N19" s="881"/>
      <c r="O19" s="881"/>
      <c r="P19" s="881"/>
      <c r="Q19" s="881">
        <f t="shared" si="1"/>
        <v>5247000</v>
      </c>
      <c r="R19" s="881"/>
      <c r="S19" s="887"/>
    </row>
    <row r="20" spans="1:19" ht="33.75" customHeight="1">
      <c r="A20" s="860"/>
      <c r="B20" s="860"/>
      <c r="C20" s="885" t="s">
        <v>179</v>
      </c>
      <c r="D20" s="876">
        <v>10270</v>
      </c>
      <c r="E20" s="877" t="s">
        <v>156</v>
      </c>
      <c r="F20" s="913" t="s">
        <v>185</v>
      </c>
      <c r="G20" s="914" t="s">
        <v>537</v>
      </c>
      <c r="H20" s="876" t="s">
        <v>81</v>
      </c>
      <c r="I20" s="902">
        <v>5671</v>
      </c>
      <c r="J20" s="903">
        <v>3244047446</v>
      </c>
      <c r="K20" s="879"/>
      <c r="L20" s="879"/>
      <c r="M20" s="881"/>
      <c r="N20" s="881"/>
      <c r="O20" s="881"/>
      <c r="P20" s="881"/>
      <c r="Q20" s="881">
        <f t="shared" si="1"/>
        <v>3244047446</v>
      </c>
      <c r="R20" s="881"/>
      <c r="S20" s="887"/>
    </row>
    <row r="21" spans="1:19" ht="33.75" customHeight="1">
      <c r="A21" s="860"/>
      <c r="B21" s="860"/>
      <c r="C21" s="885" t="s">
        <v>179</v>
      </c>
      <c r="D21" s="876">
        <v>10270</v>
      </c>
      <c r="E21" s="877" t="s">
        <v>156</v>
      </c>
      <c r="F21" s="913" t="s">
        <v>185</v>
      </c>
      <c r="G21" s="914" t="s">
        <v>537</v>
      </c>
      <c r="H21" s="876" t="s">
        <v>82</v>
      </c>
      <c r="I21" s="902">
        <v>5671</v>
      </c>
      <c r="J21" s="903">
        <v>3244047446</v>
      </c>
      <c r="K21" s="879"/>
      <c r="L21" s="879"/>
      <c r="M21" s="881"/>
      <c r="N21" s="881"/>
      <c r="O21" s="881"/>
      <c r="P21" s="881"/>
      <c r="Q21" s="881">
        <f t="shared" si="1"/>
        <v>3244047446</v>
      </c>
      <c r="R21" s="881"/>
      <c r="S21" s="887"/>
    </row>
    <row r="22" spans="1:19" ht="33.75" customHeight="1">
      <c r="A22" s="860"/>
      <c r="B22" s="860"/>
      <c r="C22" s="885" t="s">
        <v>179</v>
      </c>
      <c r="D22" s="876">
        <v>10270</v>
      </c>
      <c r="E22" s="877" t="s">
        <v>156</v>
      </c>
      <c r="F22" s="913" t="s">
        <v>185</v>
      </c>
      <c r="G22" s="914" t="s">
        <v>537</v>
      </c>
      <c r="H22" s="876" t="s">
        <v>83</v>
      </c>
      <c r="I22" s="905">
        <f>I21/3</f>
        <v>1890.3333333333333</v>
      </c>
      <c r="J22" s="904">
        <v>1247708000</v>
      </c>
      <c r="K22" s="879"/>
      <c r="L22" s="879"/>
      <c r="M22" s="881"/>
      <c r="N22" s="881"/>
      <c r="O22" s="881"/>
      <c r="P22" s="881"/>
      <c r="Q22" s="881">
        <f t="shared" si="1"/>
        <v>1247708000</v>
      </c>
      <c r="R22" s="881"/>
      <c r="S22" s="887"/>
    </row>
    <row r="23" spans="1:19" ht="33.75" customHeight="1">
      <c r="A23" s="860"/>
      <c r="B23" s="860"/>
      <c r="C23" s="889"/>
      <c r="D23" s="871"/>
      <c r="E23" s="872" t="s">
        <v>156</v>
      </c>
      <c r="F23" s="871"/>
      <c r="G23" s="872" t="s">
        <v>714</v>
      </c>
      <c r="H23" s="871" t="s">
        <v>81</v>
      </c>
      <c r="I23" s="911"/>
      <c r="J23" s="912">
        <f>J8+J11+J14+J17+J20</f>
        <v>5200000000</v>
      </c>
      <c r="K23" s="912">
        <f t="shared" ref="K23:S23" si="2">K8+K11+K14+K17+K20</f>
        <v>0</v>
      </c>
      <c r="L23" s="912">
        <f t="shared" si="2"/>
        <v>0</v>
      </c>
      <c r="M23" s="912">
        <f t="shared" si="2"/>
        <v>0</v>
      </c>
      <c r="N23" s="912">
        <f t="shared" si="2"/>
        <v>0</v>
      </c>
      <c r="O23" s="912">
        <f t="shared" si="2"/>
        <v>0</v>
      </c>
      <c r="P23" s="912">
        <f t="shared" si="2"/>
        <v>0</v>
      </c>
      <c r="Q23" s="912">
        <f t="shared" si="2"/>
        <v>5200000000</v>
      </c>
      <c r="R23" s="912">
        <f t="shared" si="2"/>
        <v>0</v>
      </c>
      <c r="S23" s="915">
        <f t="shared" si="2"/>
        <v>0</v>
      </c>
    </row>
    <row r="24" spans="1:19" ht="33.75" customHeight="1">
      <c r="A24" s="860"/>
      <c r="B24" s="860"/>
      <c r="C24" s="891"/>
      <c r="D24" s="864"/>
      <c r="E24" s="865" t="s">
        <v>156</v>
      </c>
      <c r="F24" s="864"/>
      <c r="G24" s="865" t="s">
        <v>714</v>
      </c>
      <c r="H24" s="864" t="s">
        <v>82</v>
      </c>
      <c r="I24" s="867"/>
      <c r="J24" s="868">
        <f t="shared" ref="J24:S25" si="3">J9+J12+J15+J18+J21</f>
        <v>5200000000</v>
      </c>
      <c r="K24" s="868">
        <f t="shared" si="3"/>
        <v>0</v>
      </c>
      <c r="L24" s="868">
        <f t="shared" si="3"/>
        <v>0</v>
      </c>
      <c r="M24" s="868">
        <f t="shared" si="3"/>
        <v>0</v>
      </c>
      <c r="N24" s="868">
        <f t="shared" si="3"/>
        <v>0</v>
      </c>
      <c r="O24" s="868">
        <f t="shared" si="3"/>
        <v>0</v>
      </c>
      <c r="P24" s="868">
        <f t="shared" si="3"/>
        <v>0</v>
      </c>
      <c r="Q24" s="868">
        <f t="shared" si="3"/>
        <v>5200000000</v>
      </c>
      <c r="R24" s="868">
        <f t="shared" si="3"/>
        <v>0</v>
      </c>
      <c r="S24" s="892">
        <f t="shared" si="3"/>
        <v>0</v>
      </c>
    </row>
    <row r="25" spans="1:19" s="901" customFormat="1" ht="20.25" customHeight="1" thickBot="1">
      <c r="A25" s="900"/>
      <c r="B25" s="900"/>
      <c r="C25" s="916"/>
      <c r="D25" s="917"/>
      <c r="E25" s="918"/>
      <c r="F25" s="917"/>
      <c r="G25" s="918" t="s">
        <v>714</v>
      </c>
      <c r="H25" s="917" t="s">
        <v>83</v>
      </c>
      <c r="I25" s="919"/>
      <c r="J25" s="920">
        <f t="shared" si="3"/>
        <v>2000000000</v>
      </c>
      <c r="K25" s="920">
        <f t="shared" si="3"/>
        <v>0</v>
      </c>
      <c r="L25" s="920">
        <f t="shared" si="3"/>
        <v>0</v>
      </c>
      <c r="M25" s="920">
        <f t="shared" si="3"/>
        <v>0</v>
      </c>
      <c r="N25" s="920">
        <f t="shared" si="3"/>
        <v>0</v>
      </c>
      <c r="O25" s="920">
        <f t="shared" si="3"/>
        <v>0</v>
      </c>
      <c r="P25" s="920">
        <f t="shared" si="3"/>
        <v>0</v>
      </c>
      <c r="Q25" s="920">
        <f t="shared" si="3"/>
        <v>2000000000</v>
      </c>
      <c r="R25" s="920">
        <f t="shared" si="3"/>
        <v>0</v>
      </c>
      <c r="S25" s="921">
        <f t="shared" si="3"/>
        <v>0</v>
      </c>
    </row>
    <row r="26" spans="1:19">
      <c r="A26" s="860"/>
      <c r="B26" s="1592"/>
      <c r="C26" s="1592"/>
      <c r="D26" s="860"/>
      <c r="E26" s="860"/>
      <c r="F26" s="860"/>
      <c r="G26" s="860"/>
      <c r="H26" s="907"/>
      <c r="I26" s="860"/>
      <c r="J26" s="869"/>
      <c r="K26" s="860"/>
      <c r="L26" s="860"/>
      <c r="M26" s="860"/>
      <c r="N26" s="860"/>
      <c r="O26" s="860"/>
      <c r="P26" s="860"/>
      <c r="Q26" s="860"/>
      <c r="R26" s="860"/>
      <c r="S26" s="860"/>
    </row>
    <row r="27" spans="1:19">
      <c r="A27" s="860"/>
      <c r="B27" s="860"/>
      <c r="C27" s="1592"/>
      <c r="D27" s="1592"/>
      <c r="E27" s="860"/>
      <c r="F27" s="860"/>
      <c r="G27" s="860"/>
      <c r="H27" s="907"/>
      <c r="I27" s="860"/>
      <c r="J27" s="860"/>
      <c r="K27" s="860"/>
      <c r="L27" s="860"/>
      <c r="M27" s="860"/>
      <c r="N27" s="860"/>
      <c r="O27" s="860"/>
      <c r="P27" s="860"/>
      <c r="Q27" s="860"/>
      <c r="R27" s="860"/>
      <c r="S27" s="860"/>
    </row>
  </sheetData>
  <mergeCells count="14">
    <mergeCell ref="B26:C26"/>
    <mergeCell ref="C27:D27"/>
    <mergeCell ref="C2:S2"/>
    <mergeCell ref="C3:S3"/>
    <mergeCell ref="A5:B5"/>
    <mergeCell ref="C5:C7"/>
    <mergeCell ref="D5:D7"/>
    <mergeCell ref="E5:E7"/>
    <mergeCell ref="F5:F7"/>
    <mergeCell ref="G5:G7"/>
    <mergeCell ref="H5:H7"/>
    <mergeCell ref="I5:I7"/>
    <mergeCell ref="J5:S5"/>
    <mergeCell ref="J6:J7"/>
  </mergeCells>
  <pageMargins left="0.18" right="0.17" top="0.17" bottom="0.17" header="0.3" footer="0.17"/>
  <pageSetup paperSize="9" scale="7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 tint="0.79998168889431442"/>
  </sheetPr>
  <dimension ref="A1:U135"/>
  <sheetViews>
    <sheetView tabSelected="1" topLeftCell="F25" workbookViewId="0">
      <selection activeCell="I37" sqref="I37"/>
    </sheetView>
  </sheetViews>
  <sheetFormatPr defaultRowHeight="11.25"/>
  <cols>
    <col min="1" max="1" width="3.28515625" style="31" customWidth="1"/>
    <col min="2" max="2" width="0.140625" style="31" customWidth="1"/>
    <col min="3" max="3" width="9" style="31" customWidth="1"/>
    <col min="4" max="4" width="9.140625" style="31" customWidth="1"/>
    <col min="5" max="5" width="23.28515625" style="31" customWidth="1"/>
    <col min="6" max="6" width="8.140625" style="31" customWidth="1"/>
    <col min="7" max="7" width="57.7109375" style="31" customWidth="1"/>
    <col min="8" max="8" width="0.140625" style="31" customWidth="1"/>
    <col min="9" max="9" width="11.7109375" style="31" customWidth="1"/>
    <col min="10" max="10" width="7.85546875" style="31" customWidth="1"/>
    <col min="11" max="11" width="14" style="31" customWidth="1"/>
    <col min="12" max="16" width="13.140625" style="31" customWidth="1"/>
    <col min="17" max="18" width="4.7109375" style="31" customWidth="1"/>
    <col min="19" max="21" width="13.140625" style="31" customWidth="1"/>
    <col min="22" max="16384" width="9.140625" style="31"/>
  </cols>
  <sheetData>
    <row r="1" spans="1:21">
      <c r="A1" s="60"/>
      <c r="B1" s="60"/>
      <c r="C1" s="761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>
      <c r="A2" s="60"/>
      <c r="B2" s="60"/>
      <c r="C2" s="1682" t="s">
        <v>706</v>
      </c>
      <c r="D2" s="1682"/>
      <c r="E2" s="1682"/>
      <c r="F2" s="1682"/>
      <c r="G2" s="1682"/>
      <c r="H2" s="1682"/>
      <c r="I2" s="1682"/>
      <c r="J2" s="1682"/>
      <c r="K2" s="1682"/>
      <c r="L2" s="1682"/>
      <c r="M2" s="1682"/>
      <c r="N2" s="1682"/>
      <c r="O2" s="1682"/>
      <c r="P2" s="1682"/>
      <c r="Q2" s="1682"/>
      <c r="R2" s="1682"/>
      <c r="S2" s="1682"/>
      <c r="T2" s="1682"/>
      <c r="U2" s="1682"/>
    </row>
    <row r="3" spans="1:21" ht="12" thickBot="1">
      <c r="A3" s="60"/>
      <c r="B3" s="60"/>
      <c r="C3" s="1683" t="s">
        <v>498</v>
      </c>
      <c r="D3" s="1683"/>
      <c r="E3" s="1683"/>
      <c r="F3" s="1683"/>
      <c r="G3" s="1683"/>
      <c r="H3" s="1683"/>
      <c r="I3" s="1683"/>
      <c r="J3" s="1683"/>
      <c r="K3" s="1683"/>
      <c r="L3" s="1683"/>
      <c r="M3" s="1683"/>
      <c r="N3" s="1683"/>
      <c r="O3" s="1683"/>
      <c r="P3" s="1683"/>
      <c r="Q3" s="1683"/>
      <c r="R3" s="1683"/>
      <c r="S3" s="1683"/>
      <c r="T3" s="1683"/>
      <c r="U3" s="1683"/>
    </row>
    <row r="4" spans="1:21" ht="12.75" thickTop="1" thickBot="1">
      <c r="A4" s="1230"/>
      <c r="B4" s="1230"/>
      <c r="C4" s="1684" t="s">
        <v>63</v>
      </c>
      <c r="D4" s="1685" t="s">
        <v>25</v>
      </c>
      <c r="E4" s="1685" t="s">
        <v>96</v>
      </c>
      <c r="F4" s="1685" t="s">
        <v>707</v>
      </c>
      <c r="G4" s="1686" t="s">
        <v>502</v>
      </c>
      <c r="H4" s="1686"/>
      <c r="I4" s="1685" t="s">
        <v>98</v>
      </c>
      <c r="J4" s="1685" t="s">
        <v>708</v>
      </c>
      <c r="K4" s="1678" t="s">
        <v>67</v>
      </c>
      <c r="L4" s="1678"/>
      <c r="M4" s="1678"/>
      <c r="N4" s="1678"/>
      <c r="O4" s="1678"/>
      <c r="P4" s="1678"/>
      <c r="Q4" s="1678"/>
      <c r="R4" s="1678"/>
      <c r="S4" s="1678"/>
      <c r="T4" s="1678"/>
      <c r="U4" s="1678"/>
    </row>
    <row r="5" spans="1:21" ht="12.75" thickTop="1" thickBot="1">
      <c r="A5" s="60"/>
      <c r="B5" s="60"/>
      <c r="C5" s="1684"/>
      <c r="D5" s="1685"/>
      <c r="E5" s="1685"/>
      <c r="F5" s="1685"/>
      <c r="G5" s="1686"/>
      <c r="H5" s="1686"/>
      <c r="I5" s="1685"/>
      <c r="J5" s="1685"/>
      <c r="K5" s="1679" t="s">
        <v>68</v>
      </c>
      <c r="L5" s="931" t="s">
        <v>49</v>
      </c>
      <c r="M5" s="931" t="s">
        <v>51</v>
      </c>
      <c r="N5" s="931" t="s">
        <v>34</v>
      </c>
      <c r="O5" s="931" t="s">
        <v>36</v>
      </c>
      <c r="P5" s="931" t="s">
        <v>38</v>
      </c>
      <c r="Q5" s="1680" t="s">
        <v>40</v>
      </c>
      <c r="R5" s="1680"/>
      <c r="S5" s="931" t="s">
        <v>42</v>
      </c>
      <c r="T5" s="931" t="s">
        <v>44</v>
      </c>
      <c r="U5" s="932" t="s">
        <v>46</v>
      </c>
    </row>
    <row r="6" spans="1:21" ht="45.75" thickTop="1">
      <c r="A6" s="60"/>
      <c r="B6" s="60"/>
      <c r="C6" s="1684"/>
      <c r="D6" s="1685"/>
      <c r="E6" s="1685"/>
      <c r="F6" s="1685"/>
      <c r="G6" s="1686"/>
      <c r="H6" s="1686"/>
      <c r="I6" s="1685"/>
      <c r="J6" s="1685"/>
      <c r="K6" s="1679"/>
      <c r="L6" s="801" t="s">
        <v>70</v>
      </c>
      <c r="M6" s="801" t="s">
        <v>71</v>
      </c>
      <c r="N6" s="801" t="s">
        <v>72</v>
      </c>
      <c r="O6" s="801" t="s">
        <v>73</v>
      </c>
      <c r="P6" s="801" t="s">
        <v>74</v>
      </c>
      <c r="Q6" s="1681" t="s">
        <v>75</v>
      </c>
      <c r="R6" s="1681"/>
      <c r="S6" s="801" t="s">
        <v>76</v>
      </c>
      <c r="T6" s="801" t="s">
        <v>77</v>
      </c>
      <c r="U6" s="933" t="s">
        <v>709</v>
      </c>
    </row>
    <row r="7" spans="1:21" ht="25.5" customHeight="1">
      <c r="A7" s="60"/>
      <c r="B7" s="60"/>
      <c r="C7" s="934" t="s">
        <v>179</v>
      </c>
      <c r="D7" s="935" t="s">
        <v>157</v>
      </c>
      <c r="E7" s="936" t="s">
        <v>158</v>
      </c>
      <c r="F7" s="935" t="s">
        <v>277</v>
      </c>
      <c r="G7" s="1671" t="s">
        <v>619</v>
      </c>
      <c r="H7" s="1672" t="s">
        <v>619</v>
      </c>
      <c r="I7" s="937" t="s">
        <v>81</v>
      </c>
      <c r="J7" s="938"/>
      <c r="K7" s="939">
        <f>SUM(L7:U7)</f>
        <v>611890000</v>
      </c>
      <c r="L7" s="939">
        <v>0</v>
      </c>
      <c r="M7" s="939">
        <v>0</v>
      </c>
      <c r="N7" s="939">
        <v>159698000</v>
      </c>
      <c r="O7" s="939">
        <v>24192000</v>
      </c>
      <c r="P7" s="939">
        <v>410000000</v>
      </c>
      <c r="Q7" s="1669">
        <v>0</v>
      </c>
      <c r="R7" s="1669"/>
      <c r="S7" s="939">
        <v>0</v>
      </c>
      <c r="T7" s="939">
        <v>18000000</v>
      </c>
      <c r="U7" s="940">
        <v>0</v>
      </c>
    </row>
    <row r="8" spans="1:21" ht="25.5" customHeight="1">
      <c r="A8" s="60"/>
      <c r="B8" s="60"/>
      <c r="C8" s="934" t="s">
        <v>179</v>
      </c>
      <c r="D8" s="935" t="s">
        <v>157</v>
      </c>
      <c r="E8" s="936" t="s">
        <v>158</v>
      </c>
      <c r="F8" s="935" t="s">
        <v>277</v>
      </c>
      <c r="G8" s="1671" t="s">
        <v>619</v>
      </c>
      <c r="H8" s="1672" t="s">
        <v>619</v>
      </c>
      <c r="I8" s="937" t="s">
        <v>82</v>
      </c>
      <c r="J8" s="938"/>
      <c r="K8" s="939">
        <f>SUM(L8:U8)</f>
        <v>611890000</v>
      </c>
      <c r="L8" s="939">
        <v>0</v>
      </c>
      <c r="M8" s="939">
        <v>0</v>
      </c>
      <c r="N8" s="939">
        <v>159698000</v>
      </c>
      <c r="O8" s="939">
        <v>24192000</v>
      </c>
      <c r="P8" s="941">
        <v>410000000</v>
      </c>
      <c r="Q8" s="1669">
        <v>0</v>
      </c>
      <c r="R8" s="1669"/>
      <c r="S8" s="939">
        <v>0</v>
      </c>
      <c r="T8" s="939">
        <v>18000000</v>
      </c>
      <c r="U8" s="940">
        <v>0</v>
      </c>
    </row>
    <row r="9" spans="1:21" ht="25.5" customHeight="1">
      <c r="A9" s="60"/>
      <c r="B9" s="60"/>
      <c r="C9" s="934" t="s">
        <v>179</v>
      </c>
      <c r="D9" s="935" t="s">
        <v>157</v>
      </c>
      <c r="E9" s="936" t="s">
        <v>158</v>
      </c>
      <c r="F9" s="935" t="s">
        <v>277</v>
      </c>
      <c r="G9" s="1671" t="s">
        <v>619</v>
      </c>
      <c r="H9" s="1672" t="s">
        <v>619</v>
      </c>
      <c r="I9" s="937" t="s">
        <v>83</v>
      </c>
      <c r="J9" s="938"/>
      <c r="K9" s="939">
        <f t="shared" ref="K9:K75" si="0">SUM(L9:U9)</f>
        <v>64117396</v>
      </c>
      <c r="L9" s="939">
        <v>0</v>
      </c>
      <c r="M9" s="939">
        <v>0</v>
      </c>
      <c r="N9" s="939">
        <v>40299563</v>
      </c>
      <c r="O9" s="939">
        <v>6629329</v>
      </c>
      <c r="P9" s="941">
        <v>7078040</v>
      </c>
      <c r="Q9" s="1676">
        <v>0</v>
      </c>
      <c r="R9" s="1677"/>
      <c r="S9" s="939">
        <v>0</v>
      </c>
      <c r="T9" s="942">
        <v>10110464</v>
      </c>
      <c r="U9" s="940">
        <v>0</v>
      </c>
    </row>
    <row r="10" spans="1:21" ht="25.5" customHeight="1">
      <c r="A10" s="60"/>
      <c r="B10" s="60"/>
      <c r="C10" s="934" t="s">
        <v>179</v>
      </c>
      <c r="D10" s="935" t="s">
        <v>157</v>
      </c>
      <c r="E10" s="936" t="s">
        <v>158</v>
      </c>
      <c r="F10" s="935" t="s">
        <v>278</v>
      </c>
      <c r="G10" s="1671" t="s">
        <v>621</v>
      </c>
      <c r="H10" s="1672" t="s">
        <v>621</v>
      </c>
      <c r="I10" s="937" t="s">
        <v>81</v>
      </c>
      <c r="J10" s="938"/>
      <c r="K10" s="939">
        <f t="shared" si="0"/>
        <v>500000000</v>
      </c>
      <c r="L10" s="939">
        <v>0</v>
      </c>
      <c r="M10" s="939">
        <v>0</v>
      </c>
      <c r="N10" s="939">
        <v>0</v>
      </c>
      <c r="O10" s="939">
        <v>0</v>
      </c>
      <c r="P10" s="939">
        <v>0</v>
      </c>
      <c r="Q10" s="1669">
        <v>0</v>
      </c>
      <c r="R10" s="1669"/>
      <c r="S10" s="939">
        <v>500000000</v>
      </c>
      <c r="T10" s="939">
        <v>0</v>
      </c>
      <c r="U10" s="940">
        <v>0</v>
      </c>
    </row>
    <row r="11" spans="1:21" ht="25.5" customHeight="1">
      <c r="A11" s="60"/>
      <c r="B11" s="60"/>
      <c r="C11" s="934" t="s">
        <v>179</v>
      </c>
      <c r="D11" s="935" t="s">
        <v>157</v>
      </c>
      <c r="E11" s="936" t="s">
        <v>158</v>
      </c>
      <c r="F11" s="935" t="s">
        <v>278</v>
      </c>
      <c r="G11" s="1671" t="s">
        <v>621</v>
      </c>
      <c r="H11" s="1672" t="s">
        <v>621</v>
      </c>
      <c r="I11" s="937" t="s">
        <v>82</v>
      </c>
      <c r="J11" s="938"/>
      <c r="K11" s="939">
        <f t="shared" si="0"/>
        <v>500000000</v>
      </c>
      <c r="L11" s="939">
        <v>0</v>
      </c>
      <c r="M11" s="939">
        <v>0</v>
      </c>
      <c r="N11" s="939">
        <v>0</v>
      </c>
      <c r="O11" s="939">
        <v>0</v>
      </c>
      <c r="P11" s="939">
        <v>0</v>
      </c>
      <c r="Q11" s="1669">
        <v>0</v>
      </c>
      <c r="R11" s="1669"/>
      <c r="S11" s="939">
        <v>500000000</v>
      </c>
      <c r="T11" s="939">
        <v>0</v>
      </c>
      <c r="U11" s="940">
        <v>0</v>
      </c>
    </row>
    <row r="12" spans="1:21" ht="25.5" customHeight="1">
      <c r="A12" s="60"/>
      <c r="B12" s="60"/>
      <c r="C12" s="934" t="s">
        <v>179</v>
      </c>
      <c r="D12" s="935" t="s">
        <v>157</v>
      </c>
      <c r="E12" s="936" t="s">
        <v>158</v>
      </c>
      <c r="F12" s="935" t="s">
        <v>278</v>
      </c>
      <c r="G12" s="1671" t="s">
        <v>621</v>
      </c>
      <c r="H12" s="1672" t="s">
        <v>621</v>
      </c>
      <c r="I12" s="937" t="s">
        <v>83</v>
      </c>
      <c r="J12" s="938"/>
      <c r="K12" s="939">
        <f t="shared" si="0"/>
        <v>8971865</v>
      </c>
      <c r="L12" s="939">
        <v>0</v>
      </c>
      <c r="M12" s="939">
        <v>0</v>
      </c>
      <c r="N12" s="939">
        <v>0</v>
      </c>
      <c r="O12" s="939">
        <v>0</v>
      </c>
      <c r="P12" s="939">
        <v>0</v>
      </c>
      <c r="Q12" s="1669">
        <v>0</v>
      </c>
      <c r="R12" s="1669"/>
      <c r="S12" s="939">
        <v>8971865</v>
      </c>
      <c r="T12" s="939">
        <v>0</v>
      </c>
      <c r="U12" s="940">
        <v>0</v>
      </c>
    </row>
    <row r="13" spans="1:21" ht="25.5" customHeight="1">
      <c r="A13" s="60"/>
      <c r="B13" s="60"/>
      <c r="C13" s="934" t="s">
        <v>179</v>
      </c>
      <c r="D13" s="935" t="s">
        <v>157</v>
      </c>
      <c r="E13" s="936" t="s">
        <v>158</v>
      </c>
      <c r="F13" s="935" t="s">
        <v>286</v>
      </c>
      <c r="G13" s="1671" t="s">
        <v>625</v>
      </c>
      <c r="H13" s="1672" t="s">
        <v>625</v>
      </c>
      <c r="I13" s="937" t="s">
        <v>81</v>
      </c>
      <c r="J13" s="938"/>
      <c r="K13" s="939">
        <f t="shared" si="0"/>
        <v>300000000</v>
      </c>
      <c r="L13" s="939">
        <v>0</v>
      </c>
      <c r="M13" s="939">
        <v>300000000</v>
      </c>
      <c r="N13" s="939">
        <v>0</v>
      </c>
      <c r="O13" s="939">
        <v>0</v>
      </c>
      <c r="P13" s="939">
        <v>0</v>
      </c>
      <c r="Q13" s="1669">
        <v>0</v>
      </c>
      <c r="R13" s="1669"/>
      <c r="S13" s="939">
        <v>0</v>
      </c>
      <c r="T13" s="939">
        <v>0</v>
      </c>
      <c r="U13" s="940">
        <v>0</v>
      </c>
    </row>
    <row r="14" spans="1:21" ht="25.5" customHeight="1">
      <c r="A14" s="60"/>
      <c r="B14" s="60"/>
      <c r="C14" s="934" t="s">
        <v>179</v>
      </c>
      <c r="D14" s="935" t="s">
        <v>157</v>
      </c>
      <c r="E14" s="936" t="s">
        <v>158</v>
      </c>
      <c r="F14" s="935" t="s">
        <v>286</v>
      </c>
      <c r="G14" s="1671" t="s">
        <v>625</v>
      </c>
      <c r="H14" s="1672" t="s">
        <v>625</v>
      </c>
      <c r="I14" s="937" t="s">
        <v>82</v>
      </c>
      <c r="J14" s="938"/>
      <c r="K14" s="939">
        <f t="shared" si="0"/>
        <v>300000000</v>
      </c>
      <c r="L14" s="939">
        <v>0</v>
      </c>
      <c r="M14" s="939">
        <v>300000000</v>
      </c>
      <c r="N14" s="939">
        <v>0</v>
      </c>
      <c r="O14" s="939">
        <v>0</v>
      </c>
      <c r="P14" s="939">
        <v>0</v>
      </c>
      <c r="Q14" s="1669">
        <v>0</v>
      </c>
      <c r="R14" s="1669"/>
      <c r="S14" s="939">
        <v>0</v>
      </c>
      <c r="T14" s="939">
        <v>0</v>
      </c>
      <c r="U14" s="940">
        <v>0</v>
      </c>
    </row>
    <row r="15" spans="1:21" ht="25.5" customHeight="1">
      <c r="A15" s="60"/>
      <c r="B15" s="60"/>
      <c r="C15" s="934" t="s">
        <v>179</v>
      </c>
      <c r="D15" s="935" t="s">
        <v>157</v>
      </c>
      <c r="E15" s="936" t="s">
        <v>158</v>
      </c>
      <c r="F15" s="935" t="s">
        <v>286</v>
      </c>
      <c r="G15" s="1671" t="s">
        <v>625</v>
      </c>
      <c r="H15" s="1672" t="s">
        <v>625</v>
      </c>
      <c r="I15" s="937" t="s">
        <v>83</v>
      </c>
      <c r="J15" s="938"/>
      <c r="K15" s="939">
        <f t="shared" si="0"/>
        <v>0</v>
      </c>
      <c r="L15" s="939">
        <v>0</v>
      </c>
      <c r="M15" s="939">
        <v>0</v>
      </c>
      <c r="N15" s="939">
        <v>0</v>
      </c>
      <c r="O15" s="939">
        <v>0</v>
      </c>
      <c r="P15" s="939">
        <v>0</v>
      </c>
      <c r="Q15" s="1669">
        <v>0</v>
      </c>
      <c r="R15" s="1669"/>
      <c r="S15" s="939">
        <v>0</v>
      </c>
      <c r="T15" s="939">
        <v>0</v>
      </c>
      <c r="U15" s="940">
        <v>0</v>
      </c>
    </row>
    <row r="16" spans="1:21" ht="25.5" customHeight="1">
      <c r="A16" s="60"/>
      <c r="B16" s="60"/>
      <c r="C16" s="934" t="s">
        <v>179</v>
      </c>
      <c r="D16" s="935" t="s">
        <v>157</v>
      </c>
      <c r="E16" s="936" t="s">
        <v>158</v>
      </c>
      <c r="F16" s="935" t="s">
        <v>287</v>
      </c>
      <c r="G16" s="1671" t="s">
        <v>626</v>
      </c>
      <c r="H16" s="1672" t="s">
        <v>626</v>
      </c>
      <c r="I16" s="937" t="s">
        <v>81</v>
      </c>
      <c r="J16" s="938"/>
      <c r="K16" s="939">
        <f t="shared" si="0"/>
        <v>1500000000</v>
      </c>
      <c r="L16" s="939">
        <v>0</v>
      </c>
      <c r="M16" s="939">
        <v>1500000000</v>
      </c>
      <c r="N16" s="939">
        <v>0</v>
      </c>
      <c r="O16" s="939">
        <v>0</v>
      </c>
      <c r="P16" s="939">
        <v>0</v>
      </c>
      <c r="Q16" s="1669">
        <v>0</v>
      </c>
      <c r="R16" s="1669"/>
      <c r="S16" s="939">
        <v>0</v>
      </c>
      <c r="T16" s="939">
        <v>0</v>
      </c>
      <c r="U16" s="940">
        <v>0</v>
      </c>
    </row>
    <row r="17" spans="1:21" ht="25.5" customHeight="1">
      <c r="A17" s="60"/>
      <c r="B17" s="60"/>
      <c r="C17" s="934" t="s">
        <v>179</v>
      </c>
      <c r="D17" s="935" t="s">
        <v>157</v>
      </c>
      <c r="E17" s="936" t="s">
        <v>158</v>
      </c>
      <c r="F17" s="935" t="s">
        <v>287</v>
      </c>
      <c r="G17" s="1671" t="s">
        <v>626</v>
      </c>
      <c r="H17" s="1672" t="s">
        <v>626</v>
      </c>
      <c r="I17" s="937" t="s">
        <v>82</v>
      </c>
      <c r="J17" s="938"/>
      <c r="K17" s="939">
        <f t="shared" si="0"/>
        <v>1500000000</v>
      </c>
      <c r="L17" s="939">
        <v>0</v>
      </c>
      <c r="M17" s="939">
        <v>1500000000</v>
      </c>
      <c r="N17" s="943">
        <v>0</v>
      </c>
      <c r="O17" s="943">
        <v>0</v>
      </c>
      <c r="P17" s="939">
        <v>0</v>
      </c>
      <c r="Q17" s="1669">
        <v>0</v>
      </c>
      <c r="R17" s="1669"/>
      <c r="S17" s="939">
        <v>0</v>
      </c>
      <c r="T17" s="939">
        <v>0</v>
      </c>
      <c r="U17" s="940">
        <v>0</v>
      </c>
    </row>
    <row r="18" spans="1:21" ht="25.5" customHeight="1">
      <c r="A18" s="60"/>
      <c r="B18" s="60"/>
      <c r="C18" s="934" t="s">
        <v>179</v>
      </c>
      <c r="D18" s="935" t="s">
        <v>157</v>
      </c>
      <c r="E18" s="936" t="s">
        <v>158</v>
      </c>
      <c r="F18" s="935" t="s">
        <v>287</v>
      </c>
      <c r="G18" s="1671" t="s">
        <v>626</v>
      </c>
      <c r="H18" s="1672" t="s">
        <v>626</v>
      </c>
      <c r="I18" s="937" t="s">
        <v>83</v>
      </c>
      <c r="J18" s="938"/>
      <c r="K18" s="939">
        <f t="shared" si="0"/>
        <v>0</v>
      </c>
      <c r="L18" s="939">
        <v>0</v>
      </c>
      <c r="M18" s="939">
        <v>0</v>
      </c>
      <c r="N18" s="943">
        <v>0</v>
      </c>
      <c r="O18" s="944">
        <v>0</v>
      </c>
      <c r="P18" s="939">
        <v>0</v>
      </c>
      <c r="Q18" s="1669">
        <v>0</v>
      </c>
      <c r="R18" s="1669"/>
      <c r="S18" s="939">
        <v>0</v>
      </c>
      <c r="T18" s="939">
        <v>0</v>
      </c>
      <c r="U18" s="940">
        <v>0</v>
      </c>
    </row>
    <row r="19" spans="1:21" ht="25.5" customHeight="1">
      <c r="A19" s="60"/>
      <c r="B19" s="60"/>
      <c r="C19" s="934" t="s">
        <v>179</v>
      </c>
      <c r="D19" s="935" t="s">
        <v>157</v>
      </c>
      <c r="E19" s="936" t="s">
        <v>158</v>
      </c>
      <c r="F19" s="935" t="s">
        <v>627</v>
      </c>
      <c r="G19" s="1671" t="s">
        <v>628</v>
      </c>
      <c r="H19" s="1672" t="s">
        <v>628</v>
      </c>
      <c r="I19" s="937" t="s">
        <v>81</v>
      </c>
      <c r="J19" s="938"/>
      <c r="K19" s="939">
        <f t="shared" si="0"/>
        <v>1000000</v>
      </c>
      <c r="L19" s="939">
        <v>0</v>
      </c>
      <c r="M19" s="939">
        <v>1000000</v>
      </c>
      <c r="N19" s="939">
        <v>0</v>
      </c>
      <c r="O19" s="939">
        <v>0</v>
      </c>
      <c r="P19" s="939">
        <v>0</v>
      </c>
      <c r="Q19" s="1669">
        <v>0</v>
      </c>
      <c r="R19" s="1669"/>
      <c r="S19" s="939">
        <v>0</v>
      </c>
      <c r="T19" s="939">
        <v>0</v>
      </c>
      <c r="U19" s="940">
        <v>0</v>
      </c>
    </row>
    <row r="20" spans="1:21" ht="25.5" customHeight="1">
      <c r="A20" s="60"/>
      <c r="B20" s="60"/>
      <c r="C20" s="934" t="s">
        <v>179</v>
      </c>
      <c r="D20" s="935" t="s">
        <v>157</v>
      </c>
      <c r="E20" s="936" t="s">
        <v>158</v>
      </c>
      <c r="F20" s="935" t="s">
        <v>627</v>
      </c>
      <c r="G20" s="1671" t="s">
        <v>628</v>
      </c>
      <c r="H20" s="1672" t="s">
        <v>628</v>
      </c>
      <c r="I20" s="937" t="s">
        <v>82</v>
      </c>
      <c r="J20" s="938"/>
      <c r="K20" s="939">
        <f t="shared" si="0"/>
        <v>1000000</v>
      </c>
      <c r="L20" s="939">
        <v>0</v>
      </c>
      <c r="M20" s="939">
        <v>1000000</v>
      </c>
      <c r="N20" s="939">
        <v>0</v>
      </c>
      <c r="O20" s="939">
        <v>0</v>
      </c>
      <c r="P20" s="939">
        <v>0</v>
      </c>
      <c r="Q20" s="1669">
        <v>0</v>
      </c>
      <c r="R20" s="1669"/>
      <c r="S20" s="939">
        <v>0</v>
      </c>
      <c r="T20" s="939">
        <v>0</v>
      </c>
      <c r="U20" s="940">
        <v>0</v>
      </c>
    </row>
    <row r="21" spans="1:21" ht="25.5" customHeight="1">
      <c r="A21" s="60"/>
      <c r="B21" s="60"/>
      <c r="C21" s="934" t="s">
        <v>179</v>
      </c>
      <c r="D21" s="935" t="s">
        <v>157</v>
      </c>
      <c r="E21" s="936" t="s">
        <v>158</v>
      </c>
      <c r="F21" s="935" t="s">
        <v>627</v>
      </c>
      <c r="G21" s="1671" t="s">
        <v>628</v>
      </c>
      <c r="H21" s="1672" t="s">
        <v>628</v>
      </c>
      <c r="I21" s="937" t="s">
        <v>83</v>
      </c>
      <c r="J21" s="938"/>
      <c r="K21" s="939">
        <f t="shared" si="0"/>
        <v>0</v>
      </c>
      <c r="L21" s="939">
        <v>0</v>
      </c>
      <c r="M21" s="939">
        <v>0</v>
      </c>
      <c r="N21" s="939">
        <v>0</v>
      </c>
      <c r="O21" s="939">
        <v>0</v>
      </c>
      <c r="P21" s="939">
        <v>0</v>
      </c>
      <c r="Q21" s="1669">
        <v>0</v>
      </c>
      <c r="R21" s="1669"/>
      <c r="S21" s="939">
        <v>0</v>
      </c>
      <c r="T21" s="939">
        <v>0</v>
      </c>
      <c r="U21" s="940">
        <v>0</v>
      </c>
    </row>
    <row r="22" spans="1:21" ht="25.5" customHeight="1">
      <c r="A22" s="60"/>
      <c r="B22" s="60"/>
      <c r="C22" s="934" t="s">
        <v>179</v>
      </c>
      <c r="D22" s="935" t="s">
        <v>157</v>
      </c>
      <c r="E22" s="936" t="s">
        <v>158</v>
      </c>
      <c r="F22" s="935" t="s">
        <v>630</v>
      </c>
      <c r="G22" s="1671" t="s">
        <v>631</v>
      </c>
      <c r="H22" s="1672" t="s">
        <v>631</v>
      </c>
      <c r="I22" s="937" t="s">
        <v>81</v>
      </c>
      <c r="J22" s="938"/>
      <c r="K22" s="939">
        <f t="shared" si="0"/>
        <v>1000000</v>
      </c>
      <c r="L22" s="939">
        <v>0</v>
      </c>
      <c r="M22" s="939">
        <v>1000000</v>
      </c>
      <c r="N22" s="939">
        <v>0</v>
      </c>
      <c r="O22" s="939">
        <v>0</v>
      </c>
      <c r="P22" s="939">
        <v>0</v>
      </c>
      <c r="Q22" s="1669">
        <v>0</v>
      </c>
      <c r="R22" s="1669"/>
      <c r="S22" s="939">
        <v>0</v>
      </c>
      <c r="T22" s="939">
        <v>0</v>
      </c>
      <c r="U22" s="940">
        <v>0</v>
      </c>
    </row>
    <row r="23" spans="1:21" ht="25.5" customHeight="1">
      <c r="A23" s="60"/>
      <c r="B23" s="60"/>
      <c r="C23" s="934" t="s">
        <v>179</v>
      </c>
      <c r="D23" s="935" t="s">
        <v>157</v>
      </c>
      <c r="E23" s="936" t="s">
        <v>158</v>
      </c>
      <c r="F23" s="935" t="s">
        <v>630</v>
      </c>
      <c r="G23" s="1671" t="s">
        <v>631</v>
      </c>
      <c r="H23" s="1672" t="s">
        <v>631</v>
      </c>
      <c r="I23" s="937" t="s">
        <v>82</v>
      </c>
      <c r="J23" s="938"/>
      <c r="K23" s="939">
        <f t="shared" si="0"/>
        <v>1000000</v>
      </c>
      <c r="L23" s="939">
        <v>0</v>
      </c>
      <c r="M23" s="939">
        <v>1000000</v>
      </c>
      <c r="N23" s="939">
        <v>0</v>
      </c>
      <c r="O23" s="939">
        <v>0</v>
      </c>
      <c r="P23" s="939">
        <v>0</v>
      </c>
      <c r="Q23" s="1669">
        <v>0</v>
      </c>
      <c r="R23" s="1669"/>
      <c r="S23" s="939">
        <v>0</v>
      </c>
      <c r="T23" s="939">
        <v>0</v>
      </c>
      <c r="U23" s="940">
        <v>0</v>
      </c>
    </row>
    <row r="24" spans="1:21" ht="25.5" customHeight="1">
      <c r="A24" s="60"/>
      <c r="B24" s="60"/>
      <c r="C24" s="934" t="s">
        <v>179</v>
      </c>
      <c r="D24" s="935" t="s">
        <v>157</v>
      </c>
      <c r="E24" s="936" t="s">
        <v>158</v>
      </c>
      <c r="F24" s="935" t="s">
        <v>630</v>
      </c>
      <c r="G24" s="1671" t="s">
        <v>631</v>
      </c>
      <c r="H24" s="1672" t="s">
        <v>631</v>
      </c>
      <c r="I24" s="937" t="s">
        <v>83</v>
      </c>
      <c r="J24" s="938"/>
      <c r="K24" s="939">
        <f t="shared" si="0"/>
        <v>0</v>
      </c>
      <c r="L24" s="939">
        <v>0</v>
      </c>
      <c r="M24" s="939">
        <v>0</v>
      </c>
      <c r="N24" s="939">
        <v>0</v>
      </c>
      <c r="O24" s="939">
        <v>0</v>
      </c>
      <c r="P24" s="939">
        <v>0</v>
      </c>
      <c r="Q24" s="1669">
        <v>0</v>
      </c>
      <c r="R24" s="1669"/>
      <c r="S24" s="939">
        <v>0</v>
      </c>
      <c r="T24" s="939">
        <v>0</v>
      </c>
      <c r="U24" s="940">
        <v>0</v>
      </c>
    </row>
    <row r="25" spans="1:21" ht="25.5" customHeight="1">
      <c r="A25" s="60"/>
      <c r="B25" s="60"/>
      <c r="C25" s="934" t="s">
        <v>179</v>
      </c>
      <c r="D25" s="935" t="s">
        <v>157</v>
      </c>
      <c r="E25" s="936" t="s">
        <v>158</v>
      </c>
      <c r="F25" s="935" t="s">
        <v>295</v>
      </c>
      <c r="G25" s="1671" t="s">
        <v>296</v>
      </c>
      <c r="H25" s="1672" t="s">
        <v>296</v>
      </c>
      <c r="I25" s="937" t="s">
        <v>81</v>
      </c>
      <c r="J25" s="938"/>
      <c r="K25" s="939">
        <f t="shared" si="0"/>
        <v>500000000</v>
      </c>
      <c r="L25" s="939">
        <v>0</v>
      </c>
      <c r="M25" s="939">
        <v>500000000</v>
      </c>
      <c r="N25" s="939">
        <v>0</v>
      </c>
      <c r="O25" s="939">
        <v>0</v>
      </c>
      <c r="P25" s="939">
        <v>0</v>
      </c>
      <c r="Q25" s="1669">
        <v>0</v>
      </c>
      <c r="R25" s="1669"/>
      <c r="S25" s="939">
        <v>0</v>
      </c>
      <c r="T25" s="939">
        <v>0</v>
      </c>
      <c r="U25" s="940">
        <v>0</v>
      </c>
    </row>
    <row r="26" spans="1:21" ht="25.5" customHeight="1">
      <c r="A26" s="60"/>
      <c r="B26" s="60"/>
      <c r="C26" s="934" t="s">
        <v>179</v>
      </c>
      <c r="D26" s="935" t="s">
        <v>157</v>
      </c>
      <c r="E26" s="936" t="s">
        <v>158</v>
      </c>
      <c r="F26" s="935" t="s">
        <v>295</v>
      </c>
      <c r="G26" s="1671" t="s">
        <v>296</v>
      </c>
      <c r="H26" s="1672" t="s">
        <v>296</v>
      </c>
      <c r="I26" s="937" t="s">
        <v>82</v>
      </c>
      <c r="J26" s="938"/>
      <c r="K26" s="939">
        <f t="shared" si="0"/>
        <v>500000000</v>
      </c>
      <c r="L26" s="939">
        <v>0</v>
      </c>
      <c r="M26" s="939">
        <v>500000000</v>
      </c>
      <c r="N26" s="939">
        <v>0</v>
      </c>
      <c r="O26" s="939">
        <v>0</v>
      </c>
      <c r="P26" s="939">
        <v>0</v>
      </c>
      <c r="Q26" s="1669">
        <v>0</v>
      </c>
      <c r="R26" s="1669"/>
      <c r="S26" s="939">
        <v>0</v>
      </c>
      <c r="T26" s="939">
        <v>0</v>
      </c>
      <c r="U26" s="940">
        <v>0</v>
      </c>
    </row>
    <row r="27" spans="1:21" ht="25.5" customHeight="1">
      <c r="A27" s="60"/>
      <c r="B27" s="60"/>
      <c r="C27" s="934" t="s">
        <v>179</v>
      </c>
      <c r="D27" s="935" t="s">
        <v>157</v>
      </c>
      <c r="E27" s="936" t="s">
        <v>158</v>
      </c>
      <c r="F27" s="935" t="s">
        <v>295</v>
      </c>
      <c r="G27" s="1671" t="s">
        <v>296</v>
      </c>
      <c r="H27" s="1672" t="s">
        <v>296</v>
      </c>
      <c r="I27" s="937" t="s">
        <v>83</v>
      </c>
      <c r="J27" s="938"/>
      <c r="K27" s="939">
        <f t="shared" si="0"/>
        <v>18139793</v>
      </c>
      <c r="L27" s="939">
        <v>0</v>
      </c>
      <c r="M27" s="939">
        <v>18139793</v>
      </c>
      <c r="N27" s="939">
        <v>0</v>
      </c>
      <c r="O27" s="939">
        <v>0</v>
      </c>
      <c r="P27" s="939">
        <v>0</v>
      </c>
      <c r="Q27" s="1669">
        <v>0</v>
      </c>
      <c r="R27" s="1669"/>
      <c r="S27" s="939">
        <v>0</v>
      </c>
      <c r="T27" s="939">
        <v>0</v>
      </c>
      <c r="U27" s="940">
        <v>0</v>
      </c>
    </row>
    <row r="28" spans="1:21" ht="25.5" customHeight="1">
      <c r="A28" s="60"/>
      <c r="B28" s="60"/>
      <c r="C28" s="934" t="s">
        <v>179</v>
      </c>
      <c r="D28" s="935" t="s">
        <v>157</v>
      </c>
      <c r="E28" s="936" t="s">
        <v>158</v>
      </c>
      <c r="F28" s="935" t="s">
        <v>299</v>
      </c>
      <c r="G28" s="1671" t="s">
        <v>300</v>
      </c>
      <c r="H28" s="1672" t="s">
        <v>300</v>
      </c>
      <c r="I28" s="937" t="s">
        <v>81</v>
      </c>
      <c r="J28" s="938"/>
      <c r="K28" s="939">
        <f t="shared" si="0"/>
        <v>800000</v>
      </c>
      <c r="L28" s="939">
        <v>0</v>
      </c>
      <c r="M28" s="939">
        <v>800000</v>
      </c>
      <c r="N28" s="939">
        <v>0</v>
      </c>
      <c r="O28" s="939">
        <v>0</v>
      </c>
      <c r="P28" s="939">
        <v>0</v>
      </c>
      <c r="Q28" s="1669">
        <v>0</v>
      </c>
      <c r="R28" s="1669"/>
      <c r="S28" s="939">
        <v>0</v>
      </c>
      <c r="T28" s="939">
        <v>0</v>
      </c>
      <c r="U28" s="940">
        <v>0</v>
      </c>
    </row>
    <row r="29" spans="1:21" ht="25.5" customHeight="1">
      <c r="A29" s="60"/>
      <c r="B29" s="60"/>
      <c r="C29" s="934" t="s">
        <v>179</v>
      </c>
      <c r="D29" s="935" t="s">
        <v>157</v>
      </c>
      <c r="E29" s="936" t="s">
        <v>158</v>
      </c>
      <c r="F29" s="935" t="s">
        <v>299</v>
      </c>
      <c r="G29" s="1671" t="s">
        <v>300</v>
      </c>
      <c r="H29" s="1672" t="s">
        <v>300</v>
      </c>
      <c r="I29" s="937" t="s">
        <v>82</v>
      </c>
      <c r="J29" s="938"/>
      <c r="K29" s="939">
        <f t="shared" si="0"/>
        <v>800000</v>
      </c>
      <c r="L29" s="939">
        <v>0</v>
      </c>
      <c r="M29" s="939">
        <v>800000</v>
      </c>
      <c r="N29" s="939">
        <v>0</v>
      </c>
      <c r="O29" s="939">
        <v>0</v>
      </c>
      <c r="P29" s="939">
        <v>0</v>
      </c>
      <c r="Q29" s="1669">
        <v>0</v>
      </c>
      <c r="R29" s="1669"/>
      <c r="S29" s="939">
        <v>0</v>
      </c>
      <c r="T29" s="939">
        <v>0</v>
      </c>
      <c r="U29" s="940">
        <v>0</v>
      </c>
    </row>
    <row r="30" spans="1:21" ht="25.5" customHeight="1">
      <c r="A30" s="60"/>
      <c r="B30" s="60"/>
      <c r="C30" s="934" t="s">
        <v>179</v>
      </c>
      <c r="D30" s="935" t="s">
        <v>157</v>
      </c>
      <c r="E30" s="936" t="s">
        <v>158</v>
      </c>
      <c r="F30" s="935" t="s">
        <v>299</v>
      </c>
      <c r="G30" s="1671" t="s">
        <v>300</v>
      </c>
      <c r="H30" s="1672" t="s">
        <v>300</v>
      </c>
      <c r="I30" s="937" t="s">
        <v>83</v>
      </c>
      <c r="J30" s="938"/>
      <c r="K30" s="939">
        <f t="shared" si="0"/>
        <v>0</v>
      </c>
      <c r="L30" s="939">
        <v>0</v>
      </c>
      <c r="M30" s="939">
        <v>0</v>
      </c>
      <c r="N30" s="939">
        <v>0</v>
      </c>
      <c r="O30" s="939">
        <v>0</v>
      </c>
      <c r="P30" s="939">
        <v>0</v>
      </c>
      <c r="Q30" s="1669">
        <v>0</v>
      </c>
      <c r="R30" s="1669"/>
      <c r="S30" s="939">
        <v>0</v>
      </c>
      <c r="T30" s="939">
        <v>0</v>
      </c>
      <c r="U30" s="940">
        <v>0</v>
      </c>
    </row>
    <row r="31" spans="1:21" ht="25.5" customHeight="1">
      <c r="A31" s="60"/>
      <c r="B31" s="60"/>
      <c r="C31" s="934" t="s">
        <v>179</v>
      </c>
      <c r="D31" s="935" t="s">
        <v>157</v>
      </c>
      <c r="E31" s="936" t="s">
        <v>158</v>
      </c>
      <c r="F31" s="935" t="s">
        <v>301</v>
      </c>
      <c r="G31" s="1671" t="s">
        <v>302</v>
      </c>
      <c r="H31" s="1672" t="s">
        <v>302</v>
      </c>
      <c r="I31" s="937" t="s">
        <v>81</v>
      </c>
      <c r="J31" s="938"/>
      <c r="K31" s="939">
        <f t="shared" si="0"/>
        <v>18000000</v>
      </c>
      <c r="L31" s="939">
        <v>0</v>
      </c>
      <c r="M31" s="939">
        <v>18000000</v>
      </c>
      <c r="N31" s="939">
        <v>0</v>
      </c>
      <c r="O31" s="939">
        <v>0</v>
      </c>
      <c r="P31" s="939">
        <v>0</v>
      </c>
      <c r="Q31" s="1669">
        <v>0</v>
      </c>
      <c r="R31" s="1669"/>
      <c r="S31" s="939">
        <v>0</v>
      </c>
      <c r="T31" s="939">
        <v>0</v>
      </c>
      <c r="U31" s="940">
        <v>0</v>
      </c>
    </row>
    <row r="32" spans="1:21" ht="25.5" customHeight="1">
      <c r="A32" s="60"/>
      <c r="B32" s="60"/>
      <c r="C32" s="934" t="s">
        <v>179</v>
      </c>
      <c r="D32" s="935" t="s">
        <v>157</v>
      </c>
      <c r="E32" s="936" t="s">
        <v>158</v>
      </c>
      <c r="F32" s="935" t="s">
        <v>301</v>
      </c>
      <c r="G32" s="1671" t="s">
        <v>302</v>
      </c>
      <c r="H32" s="1672" t="s">
        <v>302</v>
      </c>
      <c r="I32" s="937" t="s">
        <v>82</v>
      </c>
      <c r="J32" s="938"/>
      <c r="K32" s="939">
        <f t="shared" si="0"/>
        <v>18000000</v>
      </c>
      <c r="L32" s="939">
        <v>0</v>
      </c>
      <c r="M32" s="939">
        <v>18000000</v>
      </c>
      <c r="N32" s="939">
        <v>0</v>
      </c>
      <c r="O32" s="939">
        <v>0</v>
      </c>
      <c r="P32" s="939">
        <v>0</v>
      </c>
      <c r="Q32" s="1669">
        <v>0</v>
      </c>
      <c r="R32" s="1669"/>
      <c r="S32" s="939">
        <v>0</v>
      </c>
      <c r="T32" s="939">
        <v>0</v>
      </c>
      <c r="U32" s="940">
        <v>0</v>
      </c>
    </row>
    <row r="33" spans="1:21" ht="25.5" customHeight="1">
      <c r="A33" s="60"/>
      <c r="B33" s="60"/>
      <c r="C33" s="934" t="s">
        <v>179</v>
      </c>
      <c r="D33" s="935" t="s">
        <v>157</v>
      </c>
      <c r="E33" s="936" t="s">
        <v>158</v>
      </c>
      <c r="F33" s="935" t="s">
        <v>301</v>
      </c>
      <c r="G33" s="1671" t="s">
        <v>302</v>
      </c>
      <c r="H33" s="1672" t="s">
        <v>302</v>
      </c>
      <c r="I33" s="937" t="s">
        <v>83</v>
      </c>
      <c r="J33" s="938"/>
      <c r="K33" s="939">
        <f t="shared" si="0"/>
        <v>0</v>
      </c>
      <c r="L33" s="939">
        <v>0</v>
      </c>
      <c r="M33" s="939">
        <v>0</v>
      </c>
      <c r="N33" s="939">
        <v>0</v>
      </c>
      <c r="O33" s="939">
        <v>0</v>
      </c>
      <c r="P33" s="939">
        <v>0</v>
      </c>
      <c r="Q33" s="1669">
        <v>0</v>
      </c>
      <c r="R33" s="1669"/>
      <c r="S33" s="939">
        <v>0</v>
      </c>
      <c r="T33" s="939">
        <v>0</v>
      </c>
      <c r="U33" s="940">
        <v>0</v>
      </c>
    </row>
    <row r="34" spans="1:21" ht="25.5" customHeight="1">
      <c r="A34" s="60"/>
      <c r="B34" s="60"/>
      <c r="C34" s="934" t="s">
        <v>179</v>
      </c>
      <c r="D34" s="935" t="s">
        <v>157</v>
      </c>
      <c r="E34" s="936" t="s">
        <v>158</v>
      </c>
      <c r="F34" s="935" t="s">
        <v>303</v>
      </c>
      <c r="G34" s="1671" t="s">
        <v>635</v>
      </c>
      <c r="H34" s="1672" t="s">
        <v>635</v>
      </c>
      <c r="I34" s="937" t="s">
        <v>81</v>
      </c>
      <c r="J34" s="938"/>
      <c r="K34" s="939">
        <f t="shared" si="0"/>
        <v>48226000</v>
      </c>
      <c r="L34" s="939">
        <v>0</v>
      </c>
      <c r="M34" s="939">
        <v>48226000</v>
      </c>
      <c r="N34" s="939">
        <v>0</v>
      </c>
      <c r="O34" s="939">
        <v>0</v>
      </c>
      <c r="P34" s="939">
        <v>0</v>
      </c>
      <c r="Q34" s="1669">
        <v>0</v>
      </c>
      <c r="R34" s="1669"/>
      <c r="S34" s="939">
        <v>0</v>
      </c>
      <c r="T34" s="939">
        <v>0</v>
      </c>
      <c r="U34" s="940">
        <v>0</v>
      </c>
    </row>
    <row r="35" spans="1:21" ht="25.5" customHeight="1">
      <c r="A35" s="60"/>
      <c r="B35" s="60"/>
      <c r="C35" s="934" t="s">
        <v>179</v>
      </c>
      <c r="D35" s="935" t="s">
        <v>157</v>
      </c>
      <c r="E35" s="936" t="s">
        <v>158</v>
      </c>
      <c r="F35" s="935" t="s">
        <v>303</v>
      </c>
      <c r="G35" s="1671" t="s">
        <v>635</v>
      </c>
      <c r="H35" s="1672" t="s">
        <v>635</v>
      </c>
      <c r="I35" s="937" t="s">
        <v>82</v>
      </c>
      <c r="J35" s="938"/>
      <c r="K35" s="939">
        <f t="shared" si="0"/>
        <v>48226000</v>
      </c>
      <c r="L35" s="939">
        <v>0</v>
      </c>
      <c r="M35" s="939">
        <v>48226000</v>
      </c>
      <c r="N35" s="939">
        <v>0</v>
      </c>
      <c r="O35" s="939">
        <v>0</v>
      </c>
      <c r="P35" s="939">
        <v>0</v>
      </c>
      <c r="Q35" s="1669">
        <v>0</v>
      </c>
      <c r="R35" s="1669"/>
      <c r="S35" s="939">
        <v>0</v>
      </c>
      <c r="T35" s="939">
        <v>0</v>
      </c>
      <c r="U35" s="940">
        <v>0</v>
      </c>
    </row>
    <row r="36" spans="1:21" ht="25.5" customHeight="1">
      <c r="A36" s="60"/>
      <c r="B36" s="60"/>
      <c r="C36" s="934" t="s">
        <v>179</v>
      </c>
      <c r="D36" s="935" t="s">
        <v>157</v>
      </c>
      <c r="E36" s="936" t="s">
        <v>158</v>
      </c>
      <c r="F36" s="935" t="s">
        <v>303</v>
      </c>
      <c r="G36" s="1671" t="s">
        <v>635</v>
      </c>
      <c r="H36" s="1672" t="s">
        <v>635</v>
      </c>
      <c r="I36" s="937" t="s">
        <v>83</v>
      </c>
      <c r="J36" s="938"/>
      <c r="K36" s="939">
        <f t="shared" si="0"/>
        <v>0</v>
      </c>
      <c r="L36" s="939">
        <v>0</v>
      </c>
      <c r="M36" s="939">
        <v>0</v>
      </c>
      <c r="N36" s="939">
        <v>0</v>
      </c>
      <c r="O36" s="939">
        <v>0</v>
      </c>
      <c r="P36" s="939">
        <v>0</v>
      </c>
      <c r="Q36" s="1669">
        <v>0</v>
      </c>
      <c r="R36" s="1669"/>
      <c r="S36" s="939">
        <v>0</v>
      </c>
      <c r="T36" s="939">
        <v>0</v>
      </c>
      <c r="U36" s="940">
        <v>0</v>
      </c>
    </row>
    <row r="37" spans="1:21" ht="25.5" customHeight="1">
      <c r="A37" s="60"/>
      <c r="B37" s="60"/>
      <c r="C37" s="934" t="s">
        <v>179</v>
      </c>
      <c r="D37" s="935" t="s">
        <v>157</v>
      </c>
      <c r="E37" s="936" t="s">
        <v>158</v>
      </c>
      <c r="F37" s="935" t="s">
        <v>636</v>
      </c>
      <c r="G37" s="1671" t="s">
        <v>637</v>
      </c>
      <c r="H37" s="1672" t="s">
        <v>637</v>
      </c>
      <c r="I37" s="937" t="s">
        <v>81</v>
      </c>
      <c r="J37" s="938"/>
      <c r="K37" s="939">
        <f t="shared" si="0"/>
        <v>2020454.87</v>
      </c>
      <c r="L37" s="939">
        <v>0</v>
      </c>
      <c r="M37" s="939">
        <v>2020454.87</v>
      </c>
      <c r="N37" s="939">
        <v>0</v>
      </c>
      <c r="O37" s="939">
        <v>0</v>
      </c>
      <c r="P37" s="939">
        <v>0</v>
      </c>
      <c r="Q37" s="1669">
        <v>0</v>
      </c>
      <c r="R37" s="1669"/>
      <c r="S37" s="939">
        <v>0</v>
      </c>
      <c r="T37" s="939">
        <v>0</v>
      </c>
      <c r="U37" s="940">
        <v>0</v>
      </c>
    </row>
    <row r="38" spans="1:21" ht="25.5" customHeight="1">
      <c r="A38" s="60"/>
      <c r="B38" s="60"/>
      <c r="C38" s="934" t="s">
        <v>179</v>
      </c>
      <c r="D38" s="935" t="s">
        <v>157</v>
      </c>
      <c r="E38" s="936" t="s">
        <v>158</v>
      </c>
      <c r="F38" s="935" t="s">
        <v>636</v>
      </c>
      <c r="G38" s="1671" t="s">
        <v>637</v>
      </c>
      <c r="H38" s="1672" t="s">
        <v>637</v>
      </c>
      <c r="I38" s="937" t="s">
        <v>82</v>
      </c>
      <c r="J38" s="938"/>
      <c r="K38" s="939">
        <f t="shared" si="0"/>
        <v>2020454.87</v>
      </c>
      <c r="L38" s="939">
        <v>0</v>
      </c>
      <c r="M38" s="939">
        <v>2020454.87</v>
      </c>
      <c r="N38" s="939">
        <v>0</v>
      </c>
      <c r="O38" s="939">
        <v>0</v>
      </c>
      <c r="P38" s="939">
        <v>0</v>
      </c>
      <c r="Q38" s="1669">
        <v>0</v>
      </c>
      <c r="R38" s="1669"/>
      <c r="S38" s="939">
        <v>0</v>
      </c>
      <c r="T38" s="939">
        <v>0</v>
      </c>
      <c r="U38" s="940">
        <v>0</v>
      </c>
    </row>
    <row r="39" spans="1:21" ht="25.5" customHeight="1">
      <c r="A39" s="60"/>
      <c r="B39" s="60"/>
      <c r="C39" s="934" t="s">
        <v>179</v>
      </c>
      <c r="D39" s="935" t="s">
        <v>157</v>
      </c>
      <c r="E39" s="936" t="s">
        <v>158</v>
      </c>
      <c r="F39" s="935" t="s">
        <v>636</v>
      </c>
      <c r="G39" s="1671" t="s">
        <v>637</v>
      </c>
      <c r="H39" s="1672" t="s">
        <v>637</v>
      </c>
      <c r="I39" s="937" t="s">
        <v>83</v>
      </c>
      <c r="J39" s="938"/>
      <c r="K39" s="939">
        <f t="shared" si="0"/>
        <v>0</v>
      </c>
      <c r="L39" s="939">
        <v>0</v>
      </c>
      <c r="M39" s="939">
        <v>0</v>
      </c>
      <c r="N39" s="939">
        <v>0</v>
      </c>
      <c r="O39" s="939">
        <v>0</v>
      </c>
      <c r="P39" s="939">
        <v>0</v>
      </c>
      <c r="Q39" s="1669">
        <v>0</v>
      </c>
      <c r="R39" s="1669"/>
      <c r="S39" s="939">
        <v>0</v>
      </c>
      <c r="T39" s="939">
        <v>0</v>
      </c>
      <c r="U39" s="940">
        <v>0</v>
      </c>
    </row>
    <row r="40" spans="1:21" ht="25.5" customHeight="1">
      <c r="A40" s="60"/>
      <c r="B40" s="60"/>
      <c r="C40" s="934" t="s">
        <v>179</v>
      </c>
      <c r="D40" s="935" t="s">
        <v>157</v>
      </c>
      <c r="E40" s="936" t="s">
        <v>158</v>
      </c>
      <c r="F40" s="935" t="s">
        <v>639</v>
      </c>
      <c r="G40" s="1671" t="s">
        <v>640</v>
      </c>
      <c r="H40" s="1672" t="s">
        <v>640</v>
      </c>
      <c r="I40" s="937" t="s">
        <v>81</v>
      </c>
      <c r="J40" s="938"/>
      <c r="K40" s="939">
        <f t="shared" si="0"/>
        <v>382926</v>
      </c>
      <c r="L40" s="939">
        <v>0</v>
      </c>
      <c r="M40" s="939">
        <v>382926</v>
      </c>
      <c r="N40" s="939">
        <v>0</v>
      </c>
      <c r="O40" s="939">
        <v>0</v>
      </c>
      <c r="P40" s="939">
        <v>0</v>
      </c>
      <c r="Q40" s="1669">
        <v>0</v>
      </c>
      <c r="R40" s="1669"/>
      <c r="S40" s="939">
        <v>0</v>
      </c>
      <c r="T40" s="939">
        <v>0</v>
      </c>
      <c r="U40" s="940">
        <v>0</v>
      </c>
    </row>
    <row r="41" spans="1:21" ht="25.5" customHeight="1">
      <c r="A41" s="60"/>
      <c r="B41" s="60"/>
      <c r="C41" s="934" t="s">
        <v>179</v>
      </c>
      <c r="D41" s="935" t="s">
        <v>157</v>
      </c>
      <c r="E41" s="936" t="s">
        <v>158</v>
      </c>
      <c r="F41" s="935" t="s">
        <v>639</v>
      </c>
      <c r="G41" s="1671" t="s">
        <v>640</v>
      </c>
      <c r="H41" s="1672" t="s">
        <v>640</v>
      </c>
      <c r="I41" s="937" t="s">
        <v>82</v>
      </c>
      <c r="J41" s="938"/>
      <c r="K41" s="939">
        <f t="shared" si="0"/>
        <v>382926</v>
      </c>
      <c r="L41" s="939">
        <v>0</v>
      </c>
      <c r="M41" s="939">
        <v>382926</v>
      </c>
      <c r="N41" s="939">
        <v>0</v>
      </c>
      <c r="O41" s="939">
        <v>0</v>
      </c>
      <c r="P41" s="939">
        <v>0</v>
      </c>
      <c r="Q41" s="1669">
        <v>0</v>
      </c>
      <c r="R41" s="1669"/>
      <c r="S41" s="939">
        <v>0</v>
      </c>
      <c r="T41" s="939">
        <v>0</v>
      </c>
      <c r="U41" s="940">
        <v>0</v>
      </c>
    </row>
    <row r="42" spans="1:21" ht="25.5" customHeight="1">
      <c r="A42" s="60"/>
      <c r="B42" s="60"/>
      <c r="C42" s="934" t="s">
        <v>179</v>
      </c>
      <c r="D42" s="935" t="s">
        <v>157</v>
      </c>
      <c r="E42" s="936" t="s">
        <v>158</v>
      </c>
      <c r="F42" s="935" t="s">
        <v>639</v>
      </c>
      <c r="G42" s="1671" t="s">
        <v>640</v>
      </c>
      <c r="H42" s="1672" t="s">
        <v>640</v>
      </c>
      <c r="I42" s="937" t="s">
        <v>83</v>
      </c>
      <c r="J42" s="938"/>
      <c r="K42" s="939">
        <f t="shared" si="0"/>
        <v>0</v>
      </c>
      <c r="L42" s="939">
        <v>0</v>
      </c>
      <c r="M42" s="939">
        <v>0</v>
      </c>
      <c r="N42" s="939">
        <v>0</v>
      </c>
      <c r="O42" s="939">
        <v>0</v>
      </c>
      <c r="P42" s="939">
        <v>0</v>
      </c>
      <c r="Q42" s="1669">
        <v>0</v>
      </c>
      <c r="R42" s="1669"/>
      <c r="S42" s="939">
        <v>0</v>
      </c>
      <c r="T42" s="939">
        <v>0</v>
      </c>
      <c r="U42" s="940">
        <v>0</v>
      </c>
    </row>
    <row r="43" spans="1:21" ht="25.5" customHeight="1">
      <c r="A43" s="60"/>
      <c r="B43" s="60"/>
      <c r="C43" s="934" t="s">
        <v>179</v>
      </c>
      <c r="D43" s="935" t="s">
        <v>157</v>
      </c>
      <c r="E43" s="936" t="s">
        <v>158</v>
      </c>
      <c r="F43" s="935" t="s">
        <v>641</v>
      </c>
      <c r="G43" s="1671" t="s">
        <v>642</v>
      </c>
      <c r="H43" s="1672" t="s">
        <v>642</v>
      </c>
      <c r="I43" s="937" t="s">
        <v>81</v>
      </c>
      <c r="J43" s="938"/>
      <c r="K43" s="939">
        <f t="shared" si="0"/>
        <v>2206917.0299999998</v>
      </c>
      <c r="L43" s="939">
        <v>0</v>
      </c>
      <c r="M43" s="939">
        <v>2206917.0299999998</v>
      </c>
      <c r="N43" s="939">
        <v>0</v>
      </c>
      <c r="O43" s="939">
        <v>0</v>
      </c>
      <c r="P43" s="939">
        <v>0</v>
      </c>
      <c r="Q43" s="1669">
        <v>0</v>
      </c>
      <c r="R43" s="1669"/>
      <c r="S43" s="939">
        <v>0</v>
      </c>
      <c r="T43" s="939">
        <v>0</v>
      </c>
      <c r="U43" s="940">
        <v>0</v>
      </c>
    </row>
    <row r="44" spans="1:21" ht="25.5" customHeight="1">
      <c r="A44" s="60"/>
      <c r="B44" s="60"/>
      <c r="C44" s="934" t="s">
        <v>179</v>
      </c>
      <c r="D44" s="935" t="s">
        <v>157</v>
      </c>
      <c r="E44" s="936" t="s">
        <v>158</v>
      </c>
      <c r="F44" s="935" t="s">
        <v>641</v>
      </c>
      <c r="G44" s="1671" t="s">
        <v>642</v>
      </c>
      <c r="H44" s="1672" t="s">
        <v>642</v>
      </c>
      <c r="I44" s="937" t="s">
        <v>82</v>
      </c>
      <c r="J44" s="938"/>
      <c r="K44" s="939">
        <f t="shared" si="0"/>
        <v>2206917.0299999998</v>
      </c>
      <c r="L44" s="939">
        <v>0</v>
      </c>
      <c r="M44" s="939">
        <v>2206917.0299999998</v>
      </c>
      <c r="N44" s="939">
        <v>0</v>
      </c>
      <c r="O44" s="939">
        <v>0</v>
      </c>
      <c r="P44" s="939">
        <v>0</v>
      </c>
      <c r="Q44" s="1669">
        <v>0</v>
      </c>
      <c r="R44" s="1669"/>
      <c r="S44" s="939">
        <v>0</v>
      </c>
      <c r="T44" s="939">
        <v>0</v>
      </c>
      <c r="U44" s="940">
        <v>0</v>
      </c>
    </row>
    <row r="45" spans="1:21" ht="25.5" customHeight="1">
      <c r="A45" s="60"/>
      <c r="B45" s="60"/>
      <c r="C45" s="934" t="s">
        <v>179</v>
      </c>
      <c r="D45" s="935" t="s">
        <v>157</v>
      </c>
      <c r="E45" s="936" t="s">
        <v>158</v>
      </c>
      <c r="F45" s="935" t="s">
        <v>641</v>
      </c>
      <c r="G45" s="1671" t="s">
        <v>642</v>
      </c>
      <c r="H45" s="1672" t="s">
        <v>642</v>
      </c>
      <c r="I45" s="937" t="s">
        <v>83</v>
      </c>
      <c r="J45" s="938"/>
      <c r="K45" s="939">
        <f t="shared" si="0"/>
        <v>156937</v>
      </c>
      <c r="L45" s="939">
        <v>0</v>
      </c>
      <c r="M45" s="939">
        <v>156937</v>
      </c>
      <c r="N45" s="939">
        <v>0</v>
      </c>
      <c r="O45" s="939">
        <v>0</v>
      </c>
      <c r="P45" s="939">
        <v>0</v>
      </c>
      <c r="Q45" s="1669">
        <v>0</v>
      </c>
      <c r="R45" s="1669"/>
      <c r="S45" s="939">
        <v>0</v>
      </c>
      <c r="T45" s="939">
        <v>0</v>
      </c>
      <c r="U45" s="940">
        <v>0</v>
      </c>
    </row>
    <row r="46" spans="1:21">
      <c r="A46" s="60"/>
      <c r="B46" s="60"/>
      <c r="C46" s="934" t="s">
        <v>179</v>
      </c>
      <c r="D46" s="935" t="s">
        <v>157</v>
      </c>
      <c r="E46" s="936" t="s">
        <v>158</v>
      </c>
      <c r="F46" s="935" t="s">
        <v>643</v>
      </c>
      <c r="G46" s="1671" t="s">
        <v>644</v>
      </c>
      <c r="H46" s="1672" t="s">
        <v>644</v>
      </c>
      <c r="I46" s="937" t="s">
        <v>81</v>
      </c>
      <c r="J46" s="938"/>
      <c r="K46" s="939">
        <f t="shared" si="0"/>
        <v>682031.03</v>
      </c>
      <c r="L46" s="939">
        <v>0</v>
      </c>
      <c r="M46" s="939">
        <v>682031.03</v>
      </c>
      <c r="N46" s="939">
        <v>0</v>
      </c>
      <c r="O46" s="939">
        <v>0</v>
      </c>
      <c r="P46" s="939">
        <v>0</v>
      </c>
      <c r="Q46" s="1669">
        <v>0</v>
      </c>
      <c r="R46" s="1669"/>
      <c r="S46" s="939">
        <v>0</v>
      </c>
      <c r="T46" s="939">
        <v>0</v>
      </c>
      <c r="U46" s="940">
        <v>0</v>
      </c>
    </row>
    <row r="47" spans="1:21">
      <c r="A47" s="60"/>
      <c r="B47" s="60"/>
      <c r="C47" s="934" t="s">
        <v>179</v>
      </c>
      <c r="D47" s="935" t="s">
        <v>157</v>
      </c>
      <c r="E47" s="936" t="s">
        <v>158</v>
      </c>
      <c r="F47" s="935" t="s">
        <v>643</v>
      </c>
      <c r="G47" s="1671" t="s">
        <v>644</v>
      </c>
      <c r="H47" s="1672" t="s">
        <v>644</v>
      </c>
      <c r="I47" s="937" t="s">
        <v>82</v>
      </c>
      <c r="J47" s="938"/>
      <c r="K47" s="939">
        <f t="shared" si="0"/>
        <v>682031.03</v>
      </c>
      <c r="L47" s="939">
        <v>0</v>
      </c>
      <c r="M47" s="939">
        <v>682031.03</v>
      </c>
      <c r="N47" s="939">
        <v>0</v>
      </c>
      <c r="O47" s="939">
        <v>0</v>
      </c>
      <c r="P47" s="939">
        <v>0</v>
      </c>
      <c r="Q47" s="1669">
        <v>0</v>
      </c>
      <c r="R47" s="1669"/>
      <c r="S47" s="939">
        <v>0</v>
      </c>
      <c r="T47" s="939">
        <v>0</v>
      </c>
      <c r="U47" s="940">
        <v>0</v>
      </c>
    </row>
    <row r="48" spans="1:21">
      <c r="A48" s="60"/>
      <c r="B48" s="60"/>
      <c r="C48" s="934" t="s">
        <v>179</v>
      </c>
      <c r="D48" s="935" t="s">
        <v>157</v>
      </c>
      <c r="E48" s="936" t="s">
        <v>158</v>
      </c>
      <c r="F48" s="935" t="s">
        <v>643</v>
      </c>
      <c r="G48" s="1671" t="s">
        <v>644</v>
      </c>
      <c r="H48" s="1672" t="s">
        <v>644</v>
      </c>
      <c r="I48" s="937" t="s">
        <v>83</v>
      </c>
      <c r="J48" s="938"/>
      <c r="K48" s="939">
        <f t="shared" si="0"/>
        <v>78704</v>
      </c>
      <c r="L48" s="939">
        <v>0</v>
      </c>
      <c r="M48" s="939">
        <v>78704</v>
      </c>
      <c r="N48" s="939">
        <v>0</v>
      </c>
      <c r="O48" s="939">
        <v>0</v>
      </c>
      <c r="P48" s="939">
        <v>0</v>
      </c>
      <c r="Q48" s="1669">
        <v>0</v>
      </c>
      <c r="R48" s="1669"/>
      <c r="S48" s="939">
        <v>0</v>
      </c>
      <c r="T48" s="939">
        <v>0</v>
      </c>
      <c r="U48" s="940">
        <v>0</v>
      </c>
    </row>
    <row r="49" spans="1:21" ht="15" customHeight="1">
      <c r="A49" s="60"/>
      <c r="B49" s="60"/>
      <c r="C49" s="934" t="s">
        <v>179</v>
      </c>
      <c r="D49" s="935" t="s">
        <v>157</v>
      </c>
      <c r="E49" s="936" t="s">
        <v>158</v>
      </c>
      <c r="F49" s="935" t="s">
        <v>645</v>
      </c>
      <c r="G49" s="1671" t="s">
        <v>646</v>
      </c>
      <c r="H49" s="1672" t="s">
        <v>646</v>
      </c>
      <c r="I49" s="937" t="s">
        <v>81</v>
      </c>
      <c r="J49" s="938"/>
      <c r="K49" s="939">
        <f t="shared" si="0"/>
        <v>5000000</v>
      </c>
      <c r="L49" s="939">
        <v>0</v>
      </c>
      <c r="M49" s="939">
        <v>5000000</v>
      </c>
      <c r="N49" s="939">
        <v>0</v>
      </c>
      <c r="O49" s="939">
        <v>0</v>
      </c>
      <c r="P49" s="939">
        <v>0</v>
      </c>
      <c r="Q49" s="1669">
        <v>0</v>
      </c>
      <c r="R49" s="1669"/>
      <c r="S49" s="939">
        <v>0</v>
      </c>
      <c r="T49" s="939">
        <v>0</v>
      </c>
      <c r="U49" s="940">
        <v>0</v>
      </c>
    </row>
    <row r="50" spans="1:21" ht="15" customHeight="1">
      <c r="A50" s="60"/>
      <c r="B50" s="60"/>
      <c r="C50" s="934" t="s">
        <v>179</v>
      </c>
      <c r="D50" s="935" t="s">
        <v>157</v>
      </c>
      <c r="E50" s="936" t="s">
        <v>158</v>
      </c>
      <c r="F50" s="935" t="s">
        <v>645</v>
      </c>
      <c r="G50" s="1671" t="s">
        <v>646</v>
      </c>
      <c r="H50" s="1672" t="s">
        <v>646</v>
      </c>
      <c r="I50" s="937" t="s">
        <v>82</v>
      </c>
      <c r="J50" s="938"/>
      <c r="K50" s="939">
        <f t="shared" si="0"/>
        <v>5000000</v>
      </c>
      <c r="L50" s="939">
        <v>0</v>
      </c>
      <c r="M50" s="939">
        <v>5000000</v>
      </c>
      <c r="N50" s="939">
        <v>0</v>
      </c>
      <c r="O50" s="939">
        <v>0</v>
      </c>
      <c r="P50" s="939">
        <v>0</v>
      </c>
      <c r="Q50" s="1669">
        <v>0</v>
      </c>
      <c r="R50" s="1669"/>
      <c r="S50" s="939">
        <v>0</v>
      </c>
      <c r="T50" s="939">
        <v>0</v>
      </c>
      <c r="U50" s="940">
        <v>0</v>
      </c>
    </row>
    <row r="51" spans="1:21" ht="15" customHeight="1">
      <c r="A51" s="60"/>
      <c r="B51" s="60"/>
      <c r="C51" s="934" t="s">
        <v>179</v>
      </c>
      <c r="D51" s="935" t="s">
        <v>157</v>
      </c>
      <c r="E51" s="936" t="s">
        <v>158</v>
      </c>
      <c r="F51" s="935" t="s">
        <v>645</v>
      </c>
      <c r="G51" s="1671" t="s">
        <v>646</v>
      </c>
      <c r="H51" s="1672" t="s">
        <v>646</v>
      </c>
      <c r="I51" s="937" t="s">
        <v>83</v>
      </c>
      <c r="J51" s="938"/>
      <c r="K51" s="939">
        <f t="shared" si="0"/>
        <v>0</v>
      </c>
      <c r="L51" s="939">
        <v>0</v>
      </c>
      <c r="M51" s="939">
        <v>0</v>
      </c>
      <c r="N51" s="939">
        <v>0</v>
      </c>
      <c r="O51" s="939">
        <v>0</v>
      </c>
      <c r="P51" s="939">
        <v>0</v>
      </c>
      <c r="Q51" s="1669">
        <v>0</v>
      </c>
      <c r="R51" s="1669"/>
      <c r="S51" s="939">
        <v>0</v>
      </c>
      <c r="T51" s="939">
        <v>0</v>
      </c>
      <c r="U51" s="940">
        <v>0</v>
      </c>
    </row>
    <row r="52" spans="1:21">
      <c r="A52" s="60"/>
      <c r="B52" s="60"/>
      <c r="C52" s="934" t="s">
        <v>179</v>
      </c>
      <c r="D52" s="935" t="s">
        <v>157</v>
      </c>
      <c r="E52" s="936" t="s">
        <v>158</v>
      </c>
      <c r="F52" s="935" t="s">
        <v>304</v>
      </c>
      <c r="G52" s="1671" t="s">
        <v>305</v>
      </c>
      <c r="H52" s="1672" t="s">
        <v>305</v>
      </c>
      <c r="I52" s="937" t="s">
        <v>81</v>
      </c>
      <c r="J52" s="938"/>
      <c r="K52" s="939">
        <f t="shared" si="0"/>
        <v>280000</v>
      </c>
      <c r="L52" s="939">
        <v>0</v>
      </c>
      <c r="M52" s="939">
        <v>280000</v>
      </c>
      <c r="N52" s="939">
        <v>0</v>
      </c>
      <c r="O52" s="939">
        <v>0</v>
      </c>
      <c r="P52" s="939">
        <v>0</v>
      </c>
      <c r="Q52" s="1669">
        <v>0</v>
      </c>
      <c r="R52" s="1669"/>
      <c r="S52" s="939">
        <v>0</v>
      </c>
      <c r="T52" s="939">
        <v>0</v>
      </c>
      <c r="U52" s="940">
        <v>0</v>
      </c>
    </row>
    <row r="53" spans="1:21">
      <c r="A53" s="60"/>
      <c r="B53" s="60"/>
      <c r="C53" s="934" t="s">
        <v>179</v>
      </c>
      <c r="D53" s="935" t="s">
        <v>157</v>
      </c>
      <c r="E53" s="936" t="s">
        <v>158</v>
      </c>
      <c r="F53" s="935" t="s">
        <v>304</v>
      </c>
      <c r="G53" s="1671" t="s">
        <v>305</v>
      </c>
      <c r="H53" s="1672" t="s">
        <v>305</v>
      </c>
      <c r="I53" s="937" t="s">
        <v>82</v>
      </c>
      <c r="J53" s="938"/>
      <c r="K53" s="939">
        <f t="shared" si="0"/>
        <v>280000</v>
      </c>
      <c r="L53" s="939">
        <v>0</v>
      </c>
      <c r="M53" s="939">
        <v>280000</v>
      </c>
      <c r="N53" s="939">
        <v>0</v>
      </c>
      <c r="O53" s="939">
        <v>0</v>
      </c>
      <c r="P53" s="939">
        <v>0</v>
      </c>
      <c r="Q53" s="1669">
        <v>0</v>
      </c>
      <c r="R53" s="1669"/>
      <c r="S53" s="939">
        <v>0</v>
      </c>
      <c r="T53" s="939">
        <v>0</v>
      </c>
      <c r="U53" s="940">
        <v>0</v>
      </c>
    </row>
    <row r="54" spans="1:21">
      <c r="A54" s="60"/>
      <c r="B54" s="60"/>
      <c r="C54" s="934" t="s">
        <v>179</v>
      </c>
      <c r="D54" s="935" t="s">
        <v>157</v>
      </c>
      <c r="E54" s="936" t="s">
        <v>158</v>
      </c>
      <c r="F54" s="935" t="s">
        <v>304</v>
      </c>
      <c r="G54" s="1671" t="s">
        <v>305</v>
      </c>
      <c r="H54" s="1672" t="s">
        <v>305</v>
      </c>
      <c r="I54" s="937" t="s">
        <v>83</v>
      </c>
      <c r="J54" s="938"/>
      <c r="K54" s="939">
        <f t="shared" si="0"/>
        <v>0</v>
      </c>
      <c r="L54" s="939">
        <v>0</v>
      </c>
      <c r="M54" s="939">
        <v>0</v>
      </c>
      <c r="N54" s="939">
        <v>0</v>
      </c>
      <c r="O54" s="939">
        <v>0</v>
      </c>
      <c r="P54" s="939">
        <v>0</v>
      </c>
      <c r="Q54" s="1669">
        <v>0</v>
      </c>
      <c r="R54" s="1669"/>
      <c r="S54" s="939">
        <v>0</v>
      </c>
      <c r="T54" s="939">
        <v>0</v>
      </c>
      <c r="U54" s="940">
        <v>0</v>
      </c>
    </row>
    <row r="55" spans="1:21" ht="15" customHeight="1">
      <c r="A55" s="60"/>
      <c r="B55" s="60"/>
      <c r="C55" s="934" t="s">
        <v>179</v>
      </c>
      <c r="D55" s="935" t="s">
        <v>157</v>
      </c>
      <c r="E55" s="936" t="s">
        <v>158</v>
      </c>
      <c r="F55" s="935" t="s">
        <v>647</v>
      </c>
      <c r="G55" s="1671" t="s">
        <v>648</v>
      </c>
      <c r="H55" s="1672" t="s">
        <v>648</v>
      </c>
      <c r="I55" s="937" t="s">
        <v>81</v>
      </c>
      <c r="J55" s="938"/>
      <c r="K55" s="939">
        <f t="shared" si="0"/>
        <v>5000000</v>
      </c>
      <c r="L55" s="939">
        <v>0</v>
      </c>
      <c r="M55" s="939">
        <v>5000000</v>
      </c>
      <c r="N55" s="939">
        <v>0</v>
      </c>
      <c r="O55" s="939">
        <v>0</v>
      </c>
      <c r="P55" s="939">
        <v>0</v>
      </c>
      <c r="Q55" s="1669">
        <v>0</v>
      </c>
      <c r="R55" s="1669"/>
      <c r="S55" s="939">
        <v>0</v>
      </c>
      <c r="T55" s="939">
        <v>0</v>
      </c>
      <c r="U55" s="940">
        <v>0</v>
      </c>
    </row>
    <row r="56" spans="1:21" ht="15" customHeight="1">
      <c r="A56" s="60"/>
      <c r="B56" s="60"/>
      <c r="C56" s="934" t="s">
        <v>179</v>
      </c>
      <c r="D56" s="935" t="s">
        <v>157</v>
      </c>
      <c r="E56" s="936" t="s">
        <v>158</v>
      </c>
      <c r="F56" s="935" t="s">
        <v>647</v>
      </c>
      <c r="G56" s="1671" t="s">
        <v>648</v>
      </c>
      <c r="H56" s="1672" t="s">
        <v>648</v>
      </c>
      <c r="I56" s="937" t="s">
        <v>82</v>
      </c>
      <c r="J56" s="938"/>
      <c r="K56" s="939">
        <f t="shared" si="0"/>
        <v>5000000</v>
      </c>
      <c r="L56" s="939">
        <v>0</v>
      </c>
      <c r="M56" s="939">
        <v>5000000</v>
      </c>
      <c r="N56" s="939">
        <v>0</v>
      </c>
      <c r="O56" s="939">
        <v>0</v>
      </c>
      <c r="P56" s="939">
        <v>0</v>
      </c>
      <c r="Q56" s="1669">
        <v>0</v>
      </c>
      <c r="R56" s="1669"/>
      <c r="S56" s="939">
        <v>0</v>
      </c>
      <c r="T56" s="939">
        <v>0</v>
      </c>
      <c r="U56" s="940">
        <v>0</v>
      </c>
    </row>
    <row r="57" spans="1:21" ht="15" customHeight="1">
      <c r="A57" s="60"/>
      <c r="B57" s="60"/>
      <c r="C57" s="934" t="s">
        <v>179</v>
      </c>
      <c r="D57" s="935" t="s">
        <v>157</v>
      </c>
      <c r="E57" s="936" t="s">
        <v>158</v>
      </c>
      <c r="F57" s="935" t="s">
        <v>647</v>
      </c>
      <c r="G57" s="1671" t="s">
        <v>648</v>
      </c>
      <c r="H57" s="1672" t="s">
        <v>648</v>
      </c>
      <c r="I57" s="937" t="s">
        <v>83</v>
      </c>
      <c r="J57" s="938"/>
      <c r="K57" s="939">
        <f t="shared" si="0"/>
        <v>0</v>
      </c>
      <c r="L57" s="939">
        <v>0</v>
      </c>
      <c r="M57" s="939">
        <v>0</v>
      </c>
      <c r="N57" s="939">
        <v>0</v>
      </c>
      <c r="O57" s="939">
        <v>0</v>
      </c>
      <c r="P57" s="939">
        <v>0</v>
      </c>
      <c r="Q57" s="1669">
        <v>0</v>
      </c>
      <c r="R57" s="1669"/>
      <c r="S57" s="939">
        <v>0</v>
      </c>
      <c r="T57" s="939">
        <v>0</v>
      </c>
      <c r="U57" s="940">
        <v>0</v>
      </c>
    </row>
    <row r="58" spans="1:21">
      <c r="A58" s="60"/>
      <c r="B58" s="60"/>
      <c r="C58" s="934" t="s">
        <v>179</v>
      </c>
      <c r="D58" s="935" t="s">
        <v>157</v>
      </c>
      <c r="E58" s="936" t="s">
        <v>158</v>
      </c>
      <c r="F58" s="935" t="s">
        <v>650</v>
      </c>
      <c r="G58" s="1671" t="s">
        <v>651</v>
      </c>
      <c r="H58" s="1672" t="s">
        <v>651</v>
      </c>
      <c r="I58" s="937" t="s">
        <v>81</v>
      </c>
      <c r="J58" s="938"/>
      <c r="K58" s="939">
        <f t="shared" si="0"/>
        <v>8000000</v>
      </c>
      <c r="L58" s="939">
        <v>0</v>
      </c>
      <c r="M58" s="939">
        <v>8000000</v>
      </c>
      <c r="N58" s="939">
        <v>0</v>
      </c>
      <c r="O58" s="939">
        <v>0</v>
      </c>
      <c r="P58" s="939">
        <v>0</v>
      </c>
      <c r="Q58" s="1669">
        <v>0</v>
      </c>
      <c r="R58" s="1669"/>
      <c r="S58" s="939">
        <v>0</v>
      </c>
      <c r="T58" s="939">
        <v>0</v>
      </c>
      <c r="U58" s="940">
        <v>0</v>
      </c>
    </row>
    <row r="59" spans="1:21">
      <c r="A59" s="60"/>
      <c r="B59" s="60"/>
      <c r="C59" s="934" t="s">
        <v>179</v>
      </c>
      <c r="D59" s="935" t="s">
        <v>157</v>
      </c>
      <c r="E59" s="936" t="s">
        <v>158</v>
      </c>
      <c r="F59" s="935" t="s">
        <v>650</v>
      </c>
      <c r="G59" s="1671" t="s">
        <v>651</v>
      </c>
      <c r="H59" s="1672" t="s">
        <v>651</v>
      </c>
      <c r="I59" s="937" t="s">
        <v>82</v>
      </c>
      <c r="J59" s="938"/>
      <c r="K59" s="939">
        <f t="shared" si="0"/>
        <v>8000000</v>
      </c>
      <c r="L59" s="939">
        <v>0</v>
      </c>
      <c r="M59" s="939">
        <v>8000000</v>
      </c>
      <c r="N59" s="939">
        <v>0</v>
      </c>
      <c r="O59" s="939">
        <v>0</v>
      </c>
      <c r="P59" s="939">
        <v>0</v>
      </c>
      <c r="Q59" s="1669">
        <v>0</v>
      </c>
      <c r="R59" s="1669"/>
      <c r="S59" s="939">
        <v>0</v>
      </c>
      <c r="T59" s="939">
        <v>0</v>
      </c>
      <c r="U59" s="940">
        <v>0</v>
      </c>
    </row>
    <row r="60" spans="1:21">
      <c r="A60" s="60"/>
      <c r="B60" s="60"/>
      <c r="C60" s="934" t="s">
        <v>179</v>
      </c>
      <c r="D60" s="935" t="s">
        <v>157</v>
      </c>
      <c r="E60" s="936" t="s">
        <v>158</v>
      </c>
      <c r="F60" s="935" t="s">
        <v>650</v>
      </c>
      <c r="G60" s="1671" t="s">
        <v>651</v>
      </c>
      <c r="H60" s="1672" t="s">
        <v>651</v>
      </c>
      <c r="I60" s="937" t="s">
        <v>83</v>
      </c>
      <c r="J60" s="938"/>
      <c r="K60" s="939">
        <f t="shared" si="0"/>
        <v>0</v>
      </c>
      <c r="L60" s="939">
        <v>0</v>
      </c>
      <c r="M60" s="939">
        <v>0</v>
      </c>
      <c r="N60" s="939">
        <v>0</v>
      </c>
      <c r="O60" s="939">
        <v>0</v>
      </c>
      <c r="P60" s="939">
        <v>0</v>
      </c>
      <c r="Q60" s="1669">
        <v>0</v>
      </c>
      <c r="R60" s="1669"/>
      <c r="S60" s="939">
        <v>0</v>
      </c>
      <c r="T60" s="939">
        <v>0</v>
      </c>
      <c r="U60" s="940">
        <v>0</v>
      </c>
    </row>
    <row r="61" spans="1:21" ht="15" customHeight="1">
      <c r="A61" s="60"/>
      <c r="B61" s="60"/>
      <c r="C61" s="934" t="s">
        <v>179</v>
      </c>
      <c r="D61" s="935" t="s">
        <v>157</v>
      </c>
      <c r="E61" s="936" t="s">
        <v>158</v>
      </c>
      <c r="F61" s="935" t="s">
        <v>652</v>
      </c>
      <c r="G61" s="1671" t="s">
        <v>653</v>
      </c>
      <c r="H61" s="1672" t="s">
        <v>653</v>
      </c>
      <c r="I61" s="937" t="s">
        <v>81</v>
      </c>
      <c r="J61" s="938"/>
      <c r="K61" s="939">
        <f t="shared" si="0"/>
        <v>22146670.719999999</v>
      </c>
      <c r="L61" s="939">
        <v>0</v>
      </c>
      <c r="M61" s="939">
        <v>22146670.719999999</v>
      </c>
      <c r="N61" s="939">
        <v>0</v>
      </c>
      <c r="O61" s="939">
        <v>0</v>
      </c>
      <c r="P61" s="939">
        <v>0</v>
      </c>
      <c r="Q61" s="1669">
        <v>0</v>
      </c>
      <c r="R61" s="1669"/>
      <c r="S61" s="939">
        <v>0</v>
      </c>
      <c r="T61" s="939">
        <v>0</v>
      </c>
      <c r="U61" s="940">
        <v>0</v>
      </c>
    </row>
    <row r="62" spans="1:21" ht="15" customHeight="1">
      <c r="A62" s="60"/>
      <c r="B62" s="60"/>
      <c r="C62" s="934" t="s">
        <v>179</v>
      </c>
      <c r="D62" s="935" t="s">
        <v>157</v>
      </c>
      <c r="E62" s="936" t="s">
        <v>158</v>
      </c>
      <c r="F62" s="935" t="s">
        <v>652</v>
      </c>
      <c r="G62" s="1671" t="s">
        <v>653</v>
      </c>
      <c r="H62" s="1672" t="s">
        <v>653</v>
      </c>
      <c r="I62" s="937" t="s">
        <v>82</v>
      </c>
      <c r="J62" s="938"/>
      <c r="K62" s="939">
        <f t="shared" si="0"/>
        <v>22146670.719999999</v>
      </c>
      <c r="L62" s="939">
        <v>0</v>
      </c>
      <c r="M62" s="939">
        <v>22146670.719999999</v>
      </c>
      <c r="N62" s="939">
        <v>0</v>
      </c>
      <c r="O62" s="939">
        <v>0</v>
      </c>
      <c r="P62" s="939">
        <v>0</v>
      </c>
      <c r="Q62" s="1669">
        <v>0</v>
      </c>
      <c r="R62" s="1669"/>
      <c r="S62" s="939">
        <v>0</v>
      </c>
      <c r="T62" s="939">
        <v>0</v>
      </c>
      <c r="U62" s="940">
        <v>0</v>
      </c>
    </row>
    <row r="63" spans="1:21" ht="15" customHeight="1">
      <c r="A63" s="60"/>
      <c r="B63" s="60"/>
      <c r="C63" s="934" t="s">
        <v>179</v>
      </c>
      <c r="D63" s="935" t="s">
        <v>157</v>
      </c>
      <c r="E63" s="936" t="s">
        <v>158</v>
      </c>
      <c r="F63" s="935" t="s">
        <v>652</v>
      </c>
      <c r="G63" s="1671" t="s">
        <v>653</v>
      </c>
      <c r="H63" s="1672" t="s">
        <v>653</v>
      </c>
      <c r="I63" s="937" t="s">
        <v>83</v>
      </c>
      <c r="J63" s="938"/>
      <c r="K63" s="939">
        <f t="shared" si="0"/>
        <v>0</v>
      </c>
      <c r="L63" s="939">
        <v>0</v>
      </c>
      <c r="M63" s="939">
        <v>0</v>
      </c>
      <c r="N63" s="939">
        <v>0</v>
      </c>
      <c r="O63" s="939">
        <v>0</v>
      </c>
      <c r="P63" s="939">
        <v>0</v>
      </c>
      <c r="Q63" s="1669">
        <v>0</v>
      </c>
      <c r="R63" s="1669"/>
      <c r="S63" s="939">
        <v>0</v>
      </c>
      <c r="T63" s="939">
        <v>0</v>
      </c>
      <c r="U63" s="940">
        <v>0</v>
      </c>
    </row>
    <row r="64" spans="1:21" ht="15" customHeight="1">
      <c r="A64" s="60"/>
      <c r="B64" s="60"/>
      <c r="C64" s="934" t="s">
        <v>179</v>
      </c>
      <c r="D64" s="935" t="s">
        <v>157</v>
      </c>
      <c r="E64" s="936" t="s">
        <v>158</v>
      </c>
      <c r="F64" s="935" t="s">
        <v>219</v>
      </c>
      <c r="G64" s="1671" t="s">
        <v>655</v>
      </c>
      <c r="H64" s="1672" t="s">
        <v>655</v>
      </c>
      <c r="I64" s="937" t="s">
        <v>81</v>
      </c>
      <c r="J64" s="938"/>
      <c r="K64" s="939">
        <f t="shared" si="0"/>
        <v>58255000</v>
      </c>
      <c r="L64" s="939">
        <v>0</v>
      </c>
      <c r="M64" s="939">
        <v>58255000</v>
      </c>
      <c r="N64" s="939">
        <v>0</v>
      </c>
      <c r="O64" s="939">
        <v>0</v>
      </c>
      <c r="P64" s="939">
        <v>0</v>
      </c>
      <c r="Q64" s="1669">
        <v>0</v>
      </c>
      <c r="R64" s="1669"/>
      <c r="S64" s="939">
        <v>0</v>
      </c>
      <c r="T64" s="939">
        <v>0</v>
      </c>
      <c r="U64" s="940">
        <v>0</v>
      </c>
    </row>
    <row r="65" spans="1:21" ht="15" customHeight="1">
      <c r="A65" s="60"/>
      <c r="B65" s="60"/>
      <c r="C65" s="934" t="s">
        <v>179</v>
      </c>
      <c r="D65" s="935" t="s">
        <v>157</v>
      </c>
      <c r="E65" s="936" t="s">
        <v>158</v>
      </c>
      <c r="F65" s="935" t="s">
        <v>219</v>
      </c>
      <c r="G65" s="1671" t="s">
        <v>655</v>
      </c>
      <c r="H65" s="1672" t="s">
        <v>655</v>
      </c>
      <c r="I65" s="937" t="s">
        <v>82</v>
      </c>
      <c r="J65" s="938"/>
      <c r="K65" s="939">
        <f t="shared" si="0"/>
        <v>58255000</v>
      </c>
      <c r="L65" s="939">
        <v>0</v>
      </c>
      <c r="M65" s="939">
        <v>58255000</v>
      </c>
      <c r="N65" s="939">
        <v>0</v>
      </c>
      <c r="O65" s="939">
        <v>0</v>
      </c>
      <c r="P65" s="939">
        <v>0</v>
      </c>
      <c r="Q65" s="1669">
        <v>0</v>
      </c>
      <c r="R65" s="1669"/>
      <c r="S65" s="939">
        <v>0</v>
      </c>
      <c r="T65" s="939">
        <v>0</v>
      </c>
      <c r="U65" s="940">
        <v>0</v>
      </c>
    </row>
    <row r="66" spans="1:21" ht="15" customHeight="1">
      <c r="A66" s="60"/>
      <c r="B66" s="60"/>
      <c r="C66" s="934" t="s">
        <v>179</v>
      </c>
      <c r="D66" s="935" t="s">
        <v>157</v>
      </c>
      <c r="E66" s="936" t="s">
        <v>158</v>
      </c>
      <c r="F66" s="935" t="s">
        <v>219</v>
      </c>
      <c r="G66" s="1671" t="s">
        <v>655</v>
      </c>
      <c r="H66" s="1672" t="s">
        <v>655</v>
      </c>
      <c r="I66" s="937" t="s">
        <v>83</v>
      </c>
      <c r="J66" s="938"/>
      <c r="K66" s="939">
        <f t="shared" si="0"/>
        <v>0</v>
      </c>
      <c r="L66" s="939">
        <v>0</v>
      </c>
      <c r="M66" s="939">
        <v>0</v>
      </c>
      <c r="N66" s="939">
        <v>0</v>
      </c>
      <c r="O66" s="939">
        <v>0</v>
      </c>
      <c r="P66" s="939">
        <v>0</v>
      </c>
      <c r="Q66" s="1669">
        <v>0</v>
      </c>
      <c r="R66" s="1669"/>
      <c r="S66" s="939">
        <v>0</v>
      </c>
      <c r="T66" s="939">
        <v>0</v>
      </c>
      <c r="U66" s="940">
        <v>0</v>
      </c>
    </row>
    <row r="67" spans="1:21" ht="15" customHeight="1">
      <c r="A67" s="60"/>
      <c r="B67" s="60"/>
      <c r="C67" s="934" t="s">
        <v>179</v>
      </c>
      <c r="D67" s="935" t="s">
        <v>157</v>
      </c>
      <c r="E67" s="936" t="s">
        <v>158</v>
      </c>
      <c r="F67" s="935" t="s">
        <v>279</v>
      </c>
      <c r="G67" s="1671" t="s">
        <v>657</v>
      </c>
      <c r="H67" s="1672" t="s">
        <v>657</v>
      </c>
      <c r="I67" s="937" t="s">
        <v>81</v>
      </c>
      <c r="J67" s="938"/>
      <c r="K67" s="939">
        <f t="shared" si="0"/>
        <v>147310000</v>
      </c>
      <c r="L67" s="939">
        <v>0</v>
      </c>
      <c r="M67" s="939">
        <v>0</v>
      </c>
      <c r="N67" s="939">
        <v>102102000</v>
      </c>
      <c r="O67" s="939">
        <v>14208000</v>
      </c>
      <c r="P67" s="939">
        <v>31000000</v>
      </c>
      <c r="Q67" s="1669">
        <v>0</v>
      </c>
      <c r="R67" s="1669"/>
      <c r="S67" s="939">
        <v>0</v>
      </c>
      <c r="T67" s="939">
        <v>0</v>
      </c>
      <c r="U67" s="940">
        <v>0</v>
      </c>
    </row>
    <row r="68" spans="1:21" ht="15" customHeight="1">
      <c r="A68" s="60"/>
      <c r="B68" s="60"/>
      <c r="C68" s="934" t="s">
        <v>179</v>
      </c>
      <c r="D68" s="935" t="s">
        <v>157</v>
      </c>
      <c r="E68" s="936" t="s">
        <v>158</v>
      </c>
      <c r="F68" s="935" t="s">
        <v>279</v>
      </c>
      <c r="G68" s="1671" t="s">
        <v>657</v>
      </c>
      <c r="H68" s="1672" t="s">
        <v>657</v>
      </c>
      <c r="I68" s="937" t="s">
        <v>82</v>
      </c>
      <c r="J68" s="938"/>
      <c r="K68" s="939">
        <f t="shared" si="0"/>
        <v>147310000</v>
      </c>
      <c r="L68" s="939">
        <v>0</v>
      </c>
      <c r="M68" s="939">
        <v>0</v>
      </c>
      <c r="N68" s="939">
        <v>102102000</v>
      </c>
      <c r="O68" s="939">
        <v>14208000</v>
      </c>
      <c r="P68" s="939">
        <v>31000000</v>
      </c>
      <c r="Q68" s="1669">
        <v>0</v>
      </c>
      <c r="R68" s="1669"/>
      <c r="S68" s="939">
        <v>0</v>
      </c>
      <c r="T68" s="939">
        <v>0</v>
      </c>
      <c r="U68" s="940">
        <v>0</v>
      </c>
    </row>
    <row r="69" spans="1:21" ht="15" customHeight="1">
      <c r="A69" s="60"/>
      <c r="B69" s="60"/>
      <c r="C69" s="934" t="s">
        <v>179</v>
      </c>
      <c r="D69" s="935" t="s">
        <v>157</v>
      </c>
      <c r="E69" s="936" t="s">
        <v>158</v>
      </c>
      <c r="F69" s="935" t="s">
        <v>279</v>
      </c>
      <c r="G69" s="1671" t="s">
        <v>657</v>
      </c>
      <c r="H69" s="1672" t="s">
        <v>657</v>
      </c>
      <c r="I69" s="937" t="s">
        <v>83</v>
      </c>
      <c r="J69" s="938"/>
      <c r="K69" s="939">
        <f t="shared" si="0"/>
        <v>37194270</v>
      </c>
      <c r="L69" s="939">
        <v>0</v>
      </c>
      <c r="M69" s="939">
        <v>0</v>
      </c>
      <c r="N69" s="939">
        <v>28898294</v>
      </c>
      <c r="O69" s="939">
        <v>4828352</v>
      </c>
      <c r="P69" s="939">
        <v>3467624</v>
      </c>
      <c r="Q69" s="1669">
        <v>0</v>
      </c>
      <c r="R69" s="1669"/>
      <c r="S69" s="939">
        <v>0</v>
      </c>
      <c r="T69" s="939">
        <v>0</v>
      </c>
      <c r="U69" s="940">
        <v>0</v>
      </c>
    </row>
    <row r="70" spans="1:21" ht="15" customHeight="1">
      <c r="A70" s="60"/>
      <c r="B70" s="60"/>
      <c r="C70" s="934" t="s">
        <v>179</v>
      </c>
      <c r="D70" s="935" t="s">
        <v>157</v>
      </c>
      <c r="E70" s="936" t="s">
        <v>158</v>
      </c>
      <c r="F70" s="935" t="s">
        <v>292</v>
      </c>
      <c r="G70" s="1671" t="s">
        <v>659</v>
      </c>
      <c r="H70" s="1672" t="s">
        <v>659</v>
      </c>
      <c r="I70" s="937" t="s">
        <v>81</v>
      </c>
      <c r="J70" s="938"/>
      <c r="K70" s="939">
        <f t="shared" si="0"/>
        <v>22000000</v>
      </c>
      <c r="L70" s="939">
        <v>0</v>
      </c>
      <c r="M70" s="939">
        <v>22000000</v>
      </c>
      <c r="N70" s="939">
        <v>0</v>
      </c>
      <c r="O70" s="939">
        <v>0</v>
      </c>
      <c r="P70" s="939">
        <v>0</v>
      </c>
      <c r="Q70" s="1669">
        <v>0</v>
      </c>
      <c r="R70" s="1669"/>
      <c r="S70" s="939">
        <v>0</v>
      </c>
      <c r="T70" s="939">
        <v>0</v>
      </c>
      <c r="U70" s="940">
        <v>0</v>
      </c>
    </row>
    <row r="71" spans="1:21" ht="15" customHeight="1">
      <c r="A71" s="60"/>
      <c r="B71" s="60"/>
      <c r="C71" s="934" t="s">
        <v>179</v>
      </c>
      <c r="D71" s="935" t="s">
        <v>157</v>
      </c>
      <c r="E71" s="936" t="s">
        <v>158</v>
      </c>
      <c r="F71" s="935" t="s">
        <v>292</v>
      </c>
      <c r="G71" s="1671" t="s">
        <v>659</v>
      </c>
      <c r="H71" s="1672" t="s">
        <v>659</v>
      </c>
      <c r="I71" s="937" t="s">
        <v>82</v>
      </c>
      <c r="J71" s="938"/>
      <c r="K71" s="939">
        <f t="shared" si="0"/>
        <v>22000000</v>
      </c>
      <c r="L71" s="939">
        <v>0</v>
      </c>
      <c r="M71" s="939">
        <v>22000000</v>
      </c>
      <c r="N71" s="939">
        <v>0</v>
      </c>
      <c r="O71" s="939">
        <v>0</v>
      </c>
      <c r="P71" s="939">
        <v>0</v>
      </c>
      <c r="Q71" s="1669">
        <v>0</v>
      </c>
      <c r="R71" s="1669"/>
      <c r="S71" s="939">
        <v>0</v>
      </c>
      <c r="T71" s="939">
        <v>0</v>
      </c>
      <c r="U71" s="940">
        <v>0</v>
      </c>
    </row>
    <row r="72" spans="1:21" ht="15" customHeight="1">
      <c r="A72" s="60"/>
      <c r="B72" s="60"/>
      <c r="C72" s="934" t="s">
        <v>179</v>
      </c>
      <c r="D72" s="935" t="s">
        <v>157</v>
      </c>
      <c r="E72" s="936" t="s">
        <v>158</v>
      </c>
      <c r="F72" s="935" t="s">
        <v>292</v>
      </c>
      <c r="G72" s="1671" t="s">
        <v>659</v>
      </c>
      <c r="H72" s="1672" t="s">
        <v>659</v>
      </c>
      <c r="I72" s="937" t="s">
        <v>83</v>
      </c>
      <c r="J72" s="938"/>
      <c r="K72" s="939">
        <f t="shared" si="0"/>
        <v>0</v>
      </c>
      <c r="L72" s="939">
        <v>0</v>
      </c>
      <c r="M72" s="939">
        <v>0</v>
      </c>
      <c r="N72" s="939">
        <v>0</v>
      </c>
      <c r="O72" s="939">
        <v>0</v>
      </c>
      <c r="P72" s="939">
        <v>0</v>
      </c>
      <c r="Q72" s="1669">
        <v>0</v>
      </c>
      <c r="R72" s="1669"/>
      <c r="S72" s="939">
        <v>0</v>
      </c>
      <c r="T72" s="939">
        <v>0</v>
      </c>
      <c r="U72" s="940">
        <v>0</v>
      </c>
    </row>
    <row r="73" spans="1:21" ht="15" customHeight="1">
      <c r="A73" s="60"/>
      <c r="B73" s="60"/>
      <c r="C73" s="934" t="s">
        <v>179</v>
      </c>
      <c r="D73" s="935" t="s">
        <v>157</v>
      </c>
      <c r="E73" s="936" t="s">
        <v>158</v>
      </c>
      <c r="F73" s="935" t="s">
        <v>660</v>
      </c>
      <c r="G73" s="1671" t="s">
        <v>661</v>
      </c>
      <c r="H73" s="1672" t="s">
        <v>661</v>
      </c>
      <c r="I73" s="937" t="s">
        <v>81</v>
      </c>
      <c r="J73" s="938"/>
      <c r="K73" s="939">
        <f t="shared" si="0"/>
        <v>13000000</v>
      </c>
      <c r="L73" s="939">
        <v>0</v>
      </c>
      <c r="M73" s="939">
        <v>13000000</v>
      </c>
      <c r="N73" s="939">
        <v>0</v>
      </c>
      <c r="O73" s="939">
        <v>0</v>
      </c>
      <c r="P73" s="939">
        <v>0</v>
      </c>
      <c r="Q73" s="1669">
        <v>0</v>
      </c>
      <c r="R73" s="1669"/>
      <c r="S73" s="939">
        <v>0</v>
      </c>
      <c r="T73" s="939">
        <v>0</v>
      </c>
      <c r="U73" s="940">
        <v>0</v>
      </c>
    </row>
    <row r="74" spans="1:21" ht="15" customHeight="1">
      <c r="A74" s="60"/>
      <c r="B74" s="60"/>
      <c r="C74" s="934" t="s">
        <v>179</v>
      </c>
      <c r="D74" s="935" t="s">
        <v>157</v>
      </c>
      <c r="E74" s="936" t="s">
        <v>158</v>
      </c>
      <c r="F74" s="935" t="s">
        <v>660</v>
      </c>
      <c r="G74" s="1671" t="s">
        <v>661</v>
      </c>
      <c r="H74" s="1672" t="s">
        <v>661</v>
      </c>
      <c r="I74" s="937" t="s">
        <v>82</v>
      </c>
      <c r="J74" s="938"/>
      <c r="K74" s="939">
        <f t="shared" si="0"/>
        <v>13000000</v>
      </c>
      <c r="L74" s="939">
        <v>0</v>
      </c>
      <c r="M74" s="939">
        <v>13000000</v>
      </c>
      <c r="N74" s="939">
        <v>0</v>
      </c>
      <c r="O74" s="939">
        <v>0</v>
      </c>
      <c r="P74" s="939">
        <v>0</v>
      </c>
      <c r="Q74" s="1669">
        <v>0</v>
      </c>
      <c r="R74" s="1669"/>
      <c r="S74" s="939">
        <v>0</v>
      </c>
      <c r="T74" s="939">
        <v>0</v>
      </c>
      <c r="U74" s="940">
        <v>0</v>
      </c>
    </row>
    <row r="75" spans="1:21" ht="15" customHeight="1">
      <c r="A75" s="60"/>
      <c r="B75" s="60"/>
      <c r="C75" s="934" t="s">
        <v>179</v>
      </c>
      <c r="D75" s="935" t="s">
        <v>157</v>
      </c>
      <c r="E75" s="936" t="s">
        <v>158</v>
      </c>
      <c r="F75" s="935" t="s">
        <v>660</v>
      </c>
      <c r="G75" s="1671" t="s">
        <v>661</v>
      </c>
      <c r="H75" s="1672" t="s">
        <v>661</v>
      </c>
      <c r="I75" s="937" t="s">
        <v>83</v>
      </c>
      <c r="J75" s="938"/>
      <c r="K75" s="939">
        <f t="shared" si="0"/>
        <v>0</v>
      </c>
      <c r="L75" s="939">
        <v>0</v>
      </c>
      <c r="M75" s="939">
        <v>0</v>
      </c>
      <c r="N75" s="939">
        <v>0</v>
      </c>
      <c r="O75" s="939">
        <v>0</v>
      </c>
      <c r="P75" s="939">
        <v>0</v>
      </c>
      <c r="Q75" s="1669">
        <v>0</v>
      </c>
      <c r="R75" s="1669"/>
      <c r="S75" s="939">
        <v>0</v>
      </c>
      <c r="T75" s="939">
        <v>0</v>
      </c>
      <c r="U75" s="940">
        <v>0</v>
      </c>
    </row>
    <row r="76" spans="1:21" ht="15" customHeight="1">
      <c r="A76" s="60"/>
      <c r="B76" s="60"/>
      <c r="C76" s="934" t="s">
        <v>179</v>
      </c>
      <c r="D76" s="935" t="s">
        <v>157</v>
      </c>
      <c r="E76" s="936" t="s">
        <v>158</v>
      </c>
      <c r="F76" s="935" t="s">
        <v>662</v>
      </c>
      <c r="G76" s="1671" t="s">
        <v>663</v>
      </c>
      <c r="H76" s="1672" t="s">
        <v>663</v>
      </c>
      <c r="I76" s="937" t="s">
        <v>81</v>
      </c>
      <c r="J76" s="938"/>
      <c r="K76" s="939">
        <f t="shared" ref="K76:K129" si="1">SUM(L76:U76)</f>
        <v>12000000</v>
      </c>
      <c r="L76" s="939">
        <v>0</v>
      </c>
      <c r="M76" s="939">
        <v>12000000</v>
      </c>
      <c r="N76" s="939">
        <v>0</v>
      </c>
      <c r="O76" s="939">
        <v>0</v>
      </c>
      <c r="P76" s="939">
        <v>0</v>
      </c>
      <c r="Q76" s="1669">
        <v>0</v>
      </c>
      <c r="R76" s="1669"/>
      <c r="S76" s="939">
        <v>0</v>
      </c>
      <c r="T76" s="939">
        <v>0</v>
      </c>
      <c r="U76" s="940">
        <v>0</v>
      </c>
    </row>
    <row r="77" spans="1:21" ht="15" customHeight="1">
      <c r="A77" s="60"/>
      <c r="B77" s="60"/>
      <c r="C77" s="934" t="s">
        <v>179</v>
      </c>
      <c r="D77" s="935" t="s">
        <v>157</v>
      </c>
      <c r="E77" s="936" t="s">
        <v>158</v>
      </c>
      <c r="F77" s="935" t="s">
        <v>662</v>
      </c>
      <c r="G77" s="1671" t="s">
        <v>663</v>
      </c>
      <c r="H77" s="1672" t="s">
        <v>663</v>
      </c>
      <c r="I77" s="937" t="s">
        <v>82</v>
      </c>
      <c r="J77" s="938"/>
      <c r="K77" s="939">
        <f t="shared" si="1"/>
        <v>12000000</v>
      </c>
      <c r="L77" s="939">
        <v>0</v>
      </c>
      <c r="M77" s="939">
        <v>12000000</v>
      </c>
      <c r="N77" s="939">
        <v>0</v>
      </c>
      <c r="O77" s="939">
        <v>0</v>
      </c>
      <c r="P77" s="939">
        <v>0</v>
      </c>
      <c r="Q77" s="1669">
        <v>0</v>
      </c>
      <c r="R77" s="1669"/>
      <c r="S77" s="939">
        <v>0</v>
      </c>
      <c r="T77" s="939">
        <v>0</v>
      </c>
      <c r="U77" s="940">
        <v>0</v>
      </c>
    </row>
    <row r="78" spans="1:21" ht="15" customHeight="1">
      <c r="A78" s="60"/>
      <c r="B78" s="60"/>
      <c r="C78" s="934" t="s">
        <v>179</v>
      </c>
      <c r="D78" s="935" t="s">
        <v>157</v>
      </c>
      <c r="E78" s="936" t="s">
        <v>158</v>
      </c>
      <c r="F78" s="935" t="s">
        <v>662</v>
      </c>
      <c r="G78" s="1671" t="s">
        <v>663</v>
      </c>
      <c r="H78" s="1672" t="s">
        <v>663</v>
      </c>
      <c r="I78" s="937" t="s">
        <v>83</v>
      </c>
      <c r="J78" s="938"/>
      <c r="K78" s="939">
        <f t="shared" si="1"/>
        <v>0</v>
      </c>
      <c r="L78" s="939">
        <v>0</v>
      </c>
      <c r="M78" s="939">
        <v>0</v>
      </c>
      <c r="N78" s="939">
        <v>0</v>
      </c>
      <c r="O78" s="939">
        <v>0</v>
      </c>
      <c r="P78" s="939">
        <v>0</v>
      </c>
      <c r="Q78" s="1669">
        <v>0</v>
      </c>
      <c r="R78" s="1669"/>
      <c r="S78" s="939">
        <v>0</v>
      </c>
      <c r="T78" s="939">
        <v>0</v>
      </c>
      <c r="U78" s="940">
        <v>0</v>
      </c>
    </row>
    <row r="79" spans="1:21">
      <c r="A79" s="60"/>
      <c r="B79" s="60"/>
      <c r="C79" s="934" t="s">
        <v>179</v>
      </c>
      <c r="D79" s="935" t="s">
        <v>157</v>
      </c>
      <c r="E79" s="936" t="s">
        <v>158</v>
      </c>
      <c r="F79" s="935" t="s">
        <v>315</v>
      </c>
      <c r="G79" s="1671" t="s">
        <v>664</v>
      </c>
      <c r="H79" s="1672" t="s">
        <v>664</v>
      </c>
      <c r="I79" s="937" t="s">
        <v>81</v>
      </c>
      <c r="J79" s="938"/>
      <c r="K79" s="939">
        <f t="shared" si="1"/>
        <v>40280000</v>
      </c>
      <c r="L79" s="939">
        <v>0</v>
      </c>
      <c r="M79" s="939">
        <v>40280000</v>
      </c>
      <c r="N79" s="939">
        <v>0</v>
      </c>
      <c r="O79" s="939">
        <v>0</v>
      </c>
      <c r="P79" s="939">
        <v>0</v>
      </c>
      <c r="Q79" s="1669">
        <v>0</v>
      </c>
      <c r="R79" s="1669"/>
      <c r="S79" s="939">
        <v>0</v>
      </c>
      <c r="T79" s="939">
        <v>0</v>
      </c>
      <c r="U79" s="940">
        <v>0</v>
      </c>
    </row>
    <row r="80" spans="1:21">
      <c r="A80" s="60"/>
      <c r="B80" s="60"/>
      <c r="C80" s="934" t="s">
        <v>179</v>
      </c>
      <c r="D80" s="935" t="s">
        <v>157</v>
      </c>
      <c r="E80" s="936" t="s">
        <v>158</v>
      </c>
      <c r="F80" s="935" t="s">
        <v>315</v>
      </c>
      <c r="G80" s="1671" t="s">
        <v>664</v>
      </c>
      <c r="H80" s="1672" t="s">
        <v>664</v>
      </c>
      <c r="I80" s="937" t="s">
        <v>82</v>
      </c>
      <c r="J80" s="938"/>
      <c r="K80" s="939">
        <f t="shared" si="1"/>
        <v>40280000</v>
      </c>
      <c r="L80" s="939">
        <v>0</v>
      </c>
      <c r="M80" s="939">
        <v>40280000</v>
      </c>
      <c r="N80" s="939">
        <v>0</v>
      </c>
      <c r="O80" s="939">
        <v>0</v>
      </c>
      <c r="P80" s="939">
        <v>0</v>
      </c>
      <c r="Q80" s="1669">
        <v>0</v>
      </c>
      <c r="R80" s="1669"/>
      <c r="S80" s="939">
        <v>0</v>
      </c>
      <c r="T80" s="939">
        <v>0</v>
      </c>
      <c r="U80" s="940">
        <v>0</v>
      </c>
    </row>
    <row r="81" spans="1:21" ht="25.5" customHeight="1">
      <c r="A81" s="60"/>
      <c r="B81" s="60"/>
      <c r="C81" s="934" t="s">
        <v>179</v>
      </c>
      <c r="D81" s="935" t="s">
        <v>157</v>
      </c>
      <c r="E81" s="936" t="s">
        <v>158</v>
      </c>
      <c r="F81" s="935" t="s">
        <v>315</v>
      </c>
      <c r="G81" s="1671" t="s">
        <v>664</v>
      </c>
      <c r="H81" s="1672" t="s">
        <v>664</v>
      </c>
      <c r="I81" s="937" t="s">
        <v>83</v>
      </c>
      <c r="J81" s="938"/>
      <c r="K81" s="939">
        <f t="shared" si="1"/>
        <v>979872</v>
      </c>
      <c r="L81" s="939">
        <v>0</v>
      </c>
      <c r="M81" s="939">
        <v>979872</v>
      </c>
      <c r="N81" s="939">
        <v>0</v>
      </c>
      <c r="O81" s="939">
        <v>0</v>
      </c>
      <c r="P81" s="939">
        <v>0</v>
      </c>
      <c r="Q81" s="1669">
        <v>0</v>
      </c>
      <c r="R81" s="1669"/>
      <c r="S81" s="939">
        <v>0</v>
      </c>
      <c r="T81" s="939">
        <v>0</v>
      </c>
      <c r="U81" s="940">
        <v>0</v>
      </c>
    </row>
    <row r="82" spans="1:21" ht="25.5" customHeight="1">
      <c r="A82" s="60"/>
      <c r="B82" s="60"/>
      <c r="C82" s="934" t="s">
        <v>179</v>
      </c>
      <c r="D82" s="935" t="s">
        <v>157</v>
      </c>
      <c r="E82" s="936" t="s">
        <v>158</v>
      </c>
      <c r="F82" s="935" t="s">
        <v>316</v>
      </c>
      <c r="G82" s="1671" t="s">
        <v>665</v>
      </c>
      <c r="H82" s="1672" t="s">
        <v>665</v>
      </c>
      <c r="I82" s="937" t="s">
        <v>81</v>
      </c>
      <c r="J82" s="938"/>
      <c r="K82" s="939">
        <f t="shared" si="1"/>
        <v>38821262</v>
      </c>
      <c r="L82" s="939">
        <v>0</v>
      </c>
      <c r="M82" s="939">
        <v>38821262</v>
      </c>
      <c r="N82" s="939">
        <v>0</v>
      </c>
      <c r="O82" s="939">
        <v>0</v>
      </c>
      <c r="P82" s="939">
        <v>0</v>
      </c>
      <c r="Q82" s="1669">
        <v>0</v>
      </c>
      <c r="R82" s="1669"/>
      <c r="S82" s="939">
        <v>0</v>
      </c>
      <c r="T82" s="939">
        <v>0</v>
      </c>
      <c r="U82" s="940">
        <v>0</v>
      </c>
    </row>
    <row r="83" spans="1:21" ht="25.5" customHeight="1">
      <c r="A83" s="60"/>
      <c r="B83" s="60"/>
      <c r="C83" s="934" t="s">
        <v>179</v>
      </c>
      <c r="D83" s="935" t="s">
        <v>157</v>
      </c>
      <c r="E83" s="936" t="s">
        <v>158</v>
      </c>
      <c r="F83" s="935" t="s">
        <v>316</v>
      </c>
      <c r="G83" s="1671" t="s">
        <v>665</v>
      </c>
      <c r="H83" s="1672" t="s">
        <v>665</v>
      </c>
      <c r="I83" s="937" t="s">
        <v>82</v>
      </c>
      <c r="J83" s="938"/>
      <c r="K83" s="939">
        <f t="shared" si="1"/>
        <v>0</v>
      </c>
      <c r="L83" s="939">
        <v>0</v>
      </c>
      <c r="M83" s="939">
        <v>0</v>
      </c>
      <c r="N83" s="939">
        <v>0</v>
      </c>
      <c r="O83" s="939">
        <v>0</v>
      </c>
      <c r="P83" s="939">
        <v>0</v>
      </c>
      <c r="Q83" s="1669">
        <v>0</v>
      </c>
      <c r="R83" s="1669"/>
      <c r="S83" s="939">
        <v>0</v>
      </c>
      <c r="T83" s="939">
        <v>0</v>
      </c>
      <c r="U83" s="940">
        <v>0</v>
      </c>
    </row>
    <row r="84" spans="1:21" ht="25.5" customHeight="1">
      <c r="A84" s="60"/>
      <c r="B84" s="60"/>
      <c r="C84" s="934" t="s">
        <v>179</v>
      </c>
      <c r="D84" s="935" t="s">
        <v>157</v>
      </c>
      <c r="E84" s="936" t="s">
        <v>158</v>
      </c>
      <c r="F84" s="935" t="s">
        <v>316</v>
      </c>
      <c r="G84" s="1671" t="s">
        <v>665</v>
      </c>
      <c r="H84" s="1672" t="s">
        <v>665</v>
      </c>
      <c r="I84" s="937" t="s">
        <v>83</v>
      </c>
      <c r="J84" s="938"/>
      <c r="K84" s="939">
        <f t="shared" si="1"/>
        <v>0</v>
      </c>
      <c r="L84" s="939">
        <v>0</v>
      </c>
      <c r="M84" s="939">
        <v>0</v>
      </c>
      <c r="N84" s="939">
        <v>0</v>
      </c>
      <c r="O84" s="939">
        <v>0</v>
      </c>
      <c r="P84" s="939">
        <v>0</v>
      </c>
      <c r="Q84" s="1669">
        <v>0</v>
      </c>
      <c r="R84" s="1669"/>
      <c r="S84" s="939">
        <v>0</v>
      </c>
      <c r="T84" s="939">
        <v>0</v>
      </c>
      <c r="U84" s="940">
        <v>0</v>
      </c>
    </row>
    <row r="85" spans="1:21">
      <c r="A85" s="60"/>
      <c r="B85" s="60"/>
      <c r="C85" s="934" t="s">
        <v>179</v>
      </c>
      <c r="D85" s="935" t="s">
        <v>157</v>
      </c>
      <c r="E85" s="936" t="s">
        <v>158</v>
      </c>
      <c r="F85" s="935" t="s">
        <v>317</v>
      </c>
      <c r="G85" s="1671" t="s">
        <v>666</v>
      </c>
      <c r="H85" s="1672" t="s">
        <v>666</v>
      </c>
      <c r="I85" s="937" t="s">
        <v>81</v>
      </c>
      <c r="J85" s="938"/>
      <c r="K85" s="939">
        <f t="shared" si="1"/>
        <v>1332000</v>
      </c>
      <c r="L85" s="939">
        <v>0</v>
      </c>
      <c r="M85" s="939">
        <v>1332000</v>
      </c>
      <c r="N85" s="939">
        <v>0</v>
      </c>
      <c r="O85" s="939">
        <v>0</v>
      </c>
      <c r="P85" s="939">
        <v>0</v>
      </c>
      <c r="Q85" s="1669">
        <v>0</v>
      </c>
      <c r="R85" s="1669"/>
      <c r="S85" s="939">
        <v>0</v>
      </c>
      <c r="T85" s="939">
        <v>0</v>
      </c>
      <c r="U85" s="940">
        <v>0</v>
      </c>
    </row>
    <row r="86" spans="1:21">
      <c r="A86" s="60"/>
      <c r="B86" s="60"/>
      <c r="C86" s="934" t="s">
        <v>179</v>
      </c>
      <c r="D86" s="935" t="s">
        <v>157</v>
      </c>
      <c r="E86" s="936" t="s">
        <v>158</v>
      </c>
      <c r="F86" s="935" t="s">
        <v>317</v>
      </c>
      <c r="G86" s="1671" t="s">
        <v>666</v>
      </c>
      <c r="H86" s="1672" t="s">
        <v>666</v>
      </c>
      <c r="I86" s="937" t="s">
        <v>82</v>
      </c>
      <c r="J86" s="938"/>
      <c r="K86" s="939">
        <f t="shared" si="1"/>
        <v>1332000</v>
      </c>
      <c r="L86" s="939">
        <v>0</v>
      </c>
      <c r="M86" s="939">
        <v>1332000</v>
      </c>
      <c r="N86" s="939">
        <v>0</v>
      </c>
      <c r="O86" s="939">
        <v>0</v>
      </c>
      <c r="P86" s="939">
        <v>0</v>
      </c>
      <c r="Q86" s="1669">
        <v>0</v>
      </c>
      <c r="R86" s="1669"/>
      <c r="S86" s="939">
        <v>0</v>
      </c>
      <c r="T86" s="939">
        <v>0</v>
      </c>
      <c r="U86" s="940">
        <v>0</v>
      </c>
    </row>
    <row r="87" spans="1:21">
      <c r="A87" s="60"/>
      <c r="B87" s="60"/>
      <c r="C87" s="934" t="s">
        <v>179</v>
      </c>
      <c r="D87" s="935" t="s">
        <v>157</v>
      </c>
      <c r="E87" s="936" t="s">
        <v>158</v>
      </c>
      <c r="F87" s="935" t="s">
        <v>317</v>
      </c>
      <c r="G87" s="1671" t="s">
        <v>666</v>
      </c>
      <c r="H87" s="1672" t="s">
        <v>666</v>
      </c>
      <c r="I87" s="937" t="s">
        <v>83</v>
      </c>
      <c r="J87" s="938"/>
      <c r="K87" s="939">
        <f t="shared" si="1"/>
        <v>409700</v>
      </c>
      <c r="L87" s="939">
        <v>0</v>
      </c>
      <c r="M87" s="939">
        <v>409700</v>
      </c>
      <c r="N87" s="939">
        <v>0</v>
      </c>
      <c r="O87" s="939">
        <v>0</v>
      </c>
      <c r="P87" s="939">
        <v>0</v>
      </c>
      <c r="Q87" s="1669">
        <v>0</v>
      </c>
      <c r="R87" s="1669"/>
      <c r="S87" s="939">
        <v>0</v>
      </c>
      <c r="T87" s="939">
        <v>0</v>
      </c>
      <c r="U87" s="940">
        <v>0</v>
      </c>
    </row>
    <row r="88" spans="1:21">
      <c r="A88" s="60"/>
      <c r="B88" s="60"/>
      <c r="C88" s="934" t="s">
        <v>179</v>
      </c>
      <c r="D88" s="935" t="s">
        <v>157</v>
      </c>
      <c r="E88" s="936" t="s">
        <v>158</v>
      </c>
      <c r="F88" s="935" t="s">
        <v>636</v>
      </c>
      <c r="G88" s="1671" t="s">
        <v>667</v>
      </c>
      <c r="H88" s="1672" t="s">
        <v>667</v>
      </c>
      <c r="I88" s="937" t="s">
        <v>81</v>
      </c>
      <c r="J88" s="938"/>
      <c r="K88" s="939">
        <f t="shared" si="1"/>
        <v>4040913</v>
      </c>
      <c r="L88" s="939">
        <v>0</v>
      </c>
      <c r="M88" s="939">
        <v>4040913</v>
      </c>
      <c r="N88" s="939">
        <v>0</v>
      </c>
      <c r="O88" s="939">
        <v>0</v>
      </c>
      <c r="P88" s="939">
        <v>0</v>
      </c>
      <c r="Q88" s="1669">
        <v>0</v>
      </c>
      <c r="R88" s="1669"/>
      <c r="S88" s="939">
        <v>0</v>
      </c>
      <c r="T88" s="939">
        <v>0</v>
      </c>
      <c r="U88" s="940">
        <v>0</v>
      </c>
    </row>
    <row r="89" spans="1:21">
      <c r="A89" s="60"/>
      <c r="B89" s="60"/>
      <c r="C89" s="934" t="s">
        <v>179</v>
      </c>
      <c r="D89" s="935" t="s">
        <v>157</v>
      </c>
      <c r="E89" s="936" t="s">
        <v>158</v>
      </c>
      <c r="F89" s="935" t="s">
        <v>636</v>
      </c>
      <c r="G89" s="1671" t="s">
        <v>667</v>
      </c>
      <c r="H89" s="1672" t="s">
        <v>667</v>
      </c>
      <c r="I89" s="937" t="s">
        <v>82</v>
      </c>
      <c r="J89" s="938"/>
      <c r="K89" s="939">
        <f t="shared" si="1"/>
        <v>4040913</v>
      </c>
      <c r="L89" s="939">
        <v>0</v>
      </c>
      <c r="M89" s="939">
        <v>4040913</v>
      </c>
      <c r="N89" s="939">
        <v>0</v>
      </c>
      <c r="O89" s="939">
        <v>0</v>
      </c>
      <c r="P89" s="939">
        <v>0</v>
      </c>
      <c r="Q89" s="1669">
        <v>0</v>
      </c>
      <c r="R89" s="1669"/>
      <c r="S89" s="939">
        <v>0</v>
      </c>
      <c r="T89" s="939">
        <v>0</v>
      </c>
      <c r="U89" s="940">
        <v>0</v>
      </c>
    </row>
    <row r="90" spans="1:21">
      <c r="A90" s="60"/>
      <c r="B90" s="60"/>
      <c r="C90" s="934" t="s">
        <v>179</v>
      </c>
      <c r="D90" s="935" t="s">
        <v>157</v>
      </c>
      <c r="E90" s="936" t="s">
        <v>158</v>
      </c>
      <c r="F90" s="935" t="s">
        <v>636</v>
      </c>
      <c r="G90" s="1671" t="s">
        <v>667</v>
      </c>
      <c r="H90" s="1672" t="s">
        <v>667</v>
      </c>
      <c r="I90" s="937" t="s">
        <v>83</v>
      </c>
      <c r="J90" s="938"/>
      <c r="K90" s="939">
        <f t="shared" si="1"/>
        <v>0</v>
      </c>
      <c r="L90" s="939">
        <v>0</v>
      </c>
      <c r="M90" s="939">
        <v>0</v>
      </c>
      <c r="N90" s="939">
        <v>0</v>
      </c>
      <c r="O90" s="939">
        <v>0</v>
      </c>
      <c r="P90" s="939">
        <v>0</v>
      </c>
      <c r="Q90" s="1669">
        <v>0</v>
      </c>
      <c r="R90" s="1669"/>
      <c r="S90" s="939">
        <v>0</v>
      </c>
      <c r="T90" s="939">
        <v>0</v>
      </c>
      <c r="U90" s="940">
        <v>0</v>
      </c>
    </row>
    <row r="91" spans="1:21">
      <c r="A91" s="60"/>
      <c r="B91" s="60"/>
      <c r="C91" s="934" t="s">
        <v>179</v>
      </c>
      <c r="D91" s="935" t="s">
        <v>157</v>
      </c>
      <c r="E91" s="936" t="s">
        <v>158</v>
      </c>
      <c r="F91" s="935" t="s">
        <v>639</v>
      </c>
      <c r="G91" s="1671" t="s">
        <v>668</v>
      </c>
      <c r="H91" s="1672" t="s">
        <v>668</v>
      </c>
      <c r="I91" s="937" t="s">
        <v>81</v>
      </c>
      <c r="J91" s="938"/>
      <c r="K91" s="939">
        <f t="shared" si="1"/>
        <v>3573980</v>
      </c>
      <c r="L91" s="939">
        <v>0</v>
      </c>
      <c r="M91" s="939">
        <v>3573980</v>
      </c>
      <c r="N91" s="939">
        <v>0</v>
      </c>
      <c r="O91" s="939">
        <v>0</v>
      </c>
      <c r="P91" s="939">
        <v>0</v>
      </c>
      <c r="Q91" s="1669">
        <v>0</v>
      </c>
      <c r="R91" s="1669"/>
      <c r="S91" s="939">
        <v>0</v>
      </c>
      <c r="T91" s="939">
        <v>0</v>
      </c>
      <c r="U91" s="940">
        <v>0</v>
      </c>
    </row>
    <row r="92" spans="1:21">
      <c r="A92" s="60"/>
      <c r="B92" s="60"/>
      <c r="C92" s="934" t="s">
        <v>179</v>
      </c>
      <c r="D92" s="935" t="s">
        <v>157</v>
      </c>
      <c r="E92" s="936" t="s">
        <v>158</v>
      </c>
      <c r="F92" s="935" t="s">
        <v>639</v>
      </c>
      <c r="G92" s="1671" t="s">
        <v>668</v>
      </c>
      <c r="H92" s="1672" t="s">
        <v>668</v>
      </c>
      <c r="I92" s="937" t="s">
        <v>82</v>
      </c>
      <c r="J92" s="938"/>
      <c r="K92" s="939">
        <f t="shared" si="1"/>
        <v>3573980</v>
      </c>
      <c r="L92" s="939">
        <v>0</v>
      </c>
      <c r="M92" s="939">
        <v>3573980</v>
      </c>
      <c r="N92" s="939">
        <v>0</v>
      </c>
      <c r="O92" s="939">
        <v>0</v>
      </c>
      <c r="P92" s="939">
        <v>0</v>
      </c>
      <c r="Q92" s="1669">
        <v>0</v>
      </c>
      <c r="R92" s="1669"/>
      <c r="S92" s="939">
        <v>0</v>
      </c>
      <c r="T92" s="939">
        <v>0</v>
      </c>
      <c r="U92" s="940">
        <v>0</v>
      </c>
    </row>
    <row r="93" spans="1:21">
      <c r="A93" s="60"/>
      <c r="B93" s="60"/>
      <c r="C93" s="934" t="s">
        <v>179</v>
      </c>
      <c r="D93" s="935" t="s">
        <v>157</v>
      </c>
      <c r="E93" s="936" t="s">
        <v>158</v>
      </c>
      <c r="F93" s="935" t="s">
        <v>639</v>
      </c>
      <c r="G93" s="1671" t="s">
        <v>668</v>
      </c>
      <c r="H93" s="1672" t="s">
        <v>668</v>
      </c>
      <c r="I93" s="937" t="s">
        <v>83</v>
      </c>
      <c r="J93" s="938"/>
      <c r="K93" s="939">
        <f t="shared" si="1"/>
        <v>0</v>
      </c>
      <c r="L93" s="939">
        <v>0</v>
      </c>
      <c r="M93" s="939">
        <v>0</v>
      </c>
      <c r="N93" s="939">
        <v>0</v>
      </c>
      <c r="O93" s="939">
        <v>0</v>
      </c>
      <c r="P93" s="939">
        <v>0</v>
      </c>
      <c r="Q93" s="1669">
        <v>0</v>
      </c>
      <c r="R93" s="1669"/>
      <c r="S93" s="939">
        <v>0</v>
      </c>
      <c r="T93" s="939">
        <v>0</v>
      </c>
      <c r="U93" s="940">
        <v>0</v>
      </c>
    </row>
    <row r="94" spans="1:21" s="953" customFormat="1">
      <c r="A94" s="945"/>
      <c r="B94" s="945"/>
      <c r="C94" s="946" t="s">
        <v>179</v>
      </c>
      <c r="D94" s="947" t="s">
        <v>157</v>
      </c>
      <c r="E94" s="948" t="s">
        <v>158</v>
      </c>
      <c r="F94" s="947" t="s">
        <v>641</v>
      </c>
      <c r="G94" s="1673" t="s">
        <v>669</v>
      </c>
      <c r="H94" s="1674" t="s">
        <v>669</v>
      </c>
      <c r="I94" s="949" t="s">
        <v>81</v>
      </c>
      <c r="J94" s="950"/>
      <c r="K94" s="951">
        <f t="shared" si="1"/>
        <v>38621048</v>
      </c>
      <c r="L94" s="951">
        <v>0</v>
      </c>
      <c r="M94" s="951">
        <v>38621048</v>
      </c>
      <c r="N94" s="951">
        <v>0</v>
      </c>
      <c r="O94" s="951">
        <v>0</v>
      </c>
      <c r="P94" s="951">
        <v>0</v>
      </c>
      <c r="Q94" s="1675">
        <v>0</v>
      </c>
      <c r="R94" s="1675"/>
      <c r="S94" s="951">
        <v>0</v>
      </c>
      <c r="T94" s="951">
        <v>0</v>
      </c>
      <c r="U94" s="952">
        <v>0</v>
      </c>
    </row>
    <row r="95" spans="1:21" s="953" customFormat="1" ht="22.5" customHeight="1">
      <c r="A95" s="945"/>
      <c r="B95" s="945"/>
      <c r="C95" s="946" t="s">
        <v>179</v>
      </c>
      <c r="D95" s="947" t="s">
        <v>157</v>
      </c>
      <c r="E95" s="948" t="s">
        <v>158</v>
      </c>
      <c r="F95" s="947" t="s">
        <v>641</v>
      </c>
      <c r="G95" s="1673" t="s">
        <v>669</v>
      </c>
      <c r="H95" s="1674" t="s">
        <v>669</v>
      </c>
      <c r="I95" s="949" t="s">
        <v>82</v>
      </c>
      <c r="J95" s="950"/>
      <c r="K95" s="951">
        <f t="shared" si="1"/>
        <v>38621048</v>
      </c>
      <c r="L95" s="951">
        <v>0</v>
      </c>
      <c r="M95" s="951">
        <v>38621048</v>
      </c>
      <c r="N95" s="951">
        <v>0</v>
      </c>
      <c r="O95" s="951">
        <v>0</v>
      </c>
      <c r="P95" s="951">
        <v>0</v>
      </c>
      <c r="Q95" s="1675">
        <v>0</v>
      </c>
      <c r="R95" s="1675"/>
      <c r="S95" s="951">
        <v>0</v>
      </c>
      <c r="T95" s="951">
        <v>0</v>
      </c>
      <c r="U95" s="952">
        <v>0</v>
      </c>
    </row>
    <row r="96" spans="1:21" s="953" customFormat="1" ht="22.5" customHeight="1">
      <c r="A96" s="945"/>
      <c r="B96" s="945"/>
      <c r="C96" s="946" t="s">
        <v>179</v>
      </c>
      <c r="D96" s="947" t="s">
        <v>157</v>
      </c>
      <c r="E96" s="948" t="s">
        <v>158</v>
      </c>
      <c r="F96" s="947" t="s">
        <v>641</v>
      </c>
      <c r="G96" s="1673" t="s">
        <v>669</v>
      </c>
      <c r="H96" s="1674" t="s">
        <v>669</v>
      </c>
      <c r="I96" s="949" t="s">
        <v>83</v>
      </c>
      <c r="J96" s="950"/>
      <c r="K96" s="951">
        <f t="shared" si="1"/>
        <v>0</v>
      </c>
      <c r="L96" s="951">
        <v>0</v>
      </c>
      <c r="M96" s="951">
        <v>0</v>
      </c>
      <c r="N96" s="951">
        <v>0</v>
      </c>
      <c r="O96" s="951">
        <v>0</v>
      </c>
      <c r="P96" s="951">
        <v>0</v>
      </c>
      <c r="Q96" s="1675">
        <v>0</v>
      </c>
      <c r="R96" s="1675"/>
      <c r="S96" s="951">
        <v>0</v>
      </c>
      <c r="T96" s="951">
        <v>0</v>
      </c>
      <c r="U96" s="952">
        <v>0</v>
      </c>
    </row>
    <row r="97" spans="1:21" s="953" customFormat="1" ht="15" customHeight="1">
      <c r="A97" s="945"/>
      <c r="B97" s="945"/>
      <c r="C97" s="946" t="s">
        <v>179</v>
      </c>
      <c r="D97" s="947" t="s">
        <v>157</v>
      </c>
      <c r="E97" s="948" t="s">
        <v>158</v>
      </c>
      <c r="F97" s="947" t="s">
        <v>643</v>
      </c>
      <c r="G97" s="1673" t="s">
        <v>670</v>
      </c>
      <c r="H97" s="1674" t="s">
        <v>670</v>
      </c>
      <c r="I97" s="949" t="s">
        <v>81</v>
      </c>
      <c r="J97" s="950"/>
      <c r="K97" s="951">
        <f t="shared" si="1"/>
        <v>6365623</v>
      </c>
      <c r="L97" s="951">
        <v>0</v>
      </c>
      <c r="M97" s="951">
        <v>6365623</v>
      </c>
      <c r="N97" s="951">
        <v>0</v>
      </c>
      <c r="O97" s="951">
        <v>0</v>
      </c>
      <c r="P97" s="951">
        <v>0</v>
      </c>
      <c r="Q97" s="1675">
        <v>0</v>
      </c>
      <c r="R97" s="1675"/>
      <c r="S97" s="951">
        <v>0</v>
      </c>
      <c r="T97" s="951">
        <v>0</v>
      </c>
      <c r="U97" s="952">
        <v>0</v>
      </c>
    </row>
    <row r="98" spans="1:21" s="953" customFormat="1" ht="15" customHeight="1">
      <c r="A98" s="945"/>
      <c r="B98" s="945"/>
      <c r="C98" s="946" t="s">
        <v>179</v>
      </c>
      <c r="D98" s="947" t="s">
        <v>157</v>
      </c>
      <c r="E98" s="948" t="s">
        <v>158</v>
      </c>
      <c r="F98" s="947" t="s">
        <v>643</v>
      </c>
      <c r="G98" s="1673" t="s">
        <v>670</v>
      </c>
      <c r="H98" s="1674" t="s">
        <v>670</v>
      </c>
      <c r="I98" s="949" t="s">
        <v>82</v>
      </c>
      <c r="J98" s="950"/>
      <c r="K98" s="951">
        <f t="shared" si="1"/>
        <v>6365623</v>
      </c>
      <c r="L98" s="951">
        <v>0</v>
      </c>
      <c r="M98" s="951">
        <v>6365623</v>
      </c>
      <c r="N98" s="951">
        <v>0</v>
      </c>
      <c r="O98" s="951">
        <v>0</v>
      </c>
      <c r="P98" s="951">
        <v>0</v>
      </c>
      <c r="Q98" s="1675">
        <v>0</v>
      </c>
      <c r="R98" s="1675"/>
      <c r="S98" s="951">
        <v>0</v>
      </c>
      <c r="T98" s="951">
        <v>0</v>
      </c>
      <c r="U98" s="952">
        <v>0</v>
      </c>
    </row>
    <row r="99" spans="1:21" s="953" customFormat="1" ht="15" customHeight="1">
      <c r="A99" s="945"/>
      <c r="B99" s="945"/>
      <c r="C99" s="946" t="s">
        <v>179</v>
      </c>
      <c r="D99" s="947" t="s">
        <v>157</v>
      </c>
      <c r="E99" s="948" t="s">
        <v>158</v>
      </c>
      <c r="F99" s="947" t="s">
        <v>643</v>
      </c>
      <c r="G99" s="1673" t="s">
        <v>670</v>
      </c>
      <c r="H99" s="1674" t="s">
        <v>670</v>
      </c>
      <c r="I99" s="949" t="s">
        <v>83</v>
      </c>
      <c r="J99" s="950"/>
      <c r="K99" s="951">
        <f t="shared" si="1"/>
        <v>0</v>
      </c>
      <c r="L99" s="951">
        <v>0</v>
      </c>
      <c r="M99" s="951">
        <v>0</v>
      </c>
      <c r="N99" s="951">
        <v>0</v>
      </c>
      <c r="O99" s="951">
        <v>0</v>
      </c>
      <c r="P99" s="951">
        <v>0</v>
      </c>
      <c r="Q99" s="1675">
        <v>0</v>
      </c>
      <c r="R99" s="1675"/>
      <c r="S99" s="951">
        <v>0</v>
      </c>
      <c r="T99" s="951">
        <v>0</v>
      </c>
      <c r="U99" s="952">
        <v>0</v>
      </c>
    </row>
    <row r="100" spans="1:21" s="953" customFormat="1" ht="15" customHeight="1">
      <c r="A100" s="945"/>
      <c r="B100" s="945"/>
      <c r="C100" s="946" t="s">
        <v>179</v>
      </c>
      <c r="D100" s="947" t="s">
        <v>157</v>
      </c>
      <c r="E100" s="948" t="s">
        <v>158</v>
      </c>
      <c r="F100" s="947" t="s">
        <v>645</v>
      </c>
      <c r="G100" s="1673" t="s">
        <v>671</v>
      </c>
      <c r="H100" s="1674" t="s">
        <v>671</v>
      </c>
      <c r="I100" s="949" t="s">
        <v>81</v>
      </c>
      <c r="J100" s="950"/>
      <c r="K100" s="951">
        <f t="shared" si="1"/>
        <v>45000000</v>
      </c>
      <c r="L100" s="951">
        <v>0</v>
      </c>
      <c r="M100" s="951">
        <v>45000000</v>
      </c>
      <c r="N100" s="951">
        <v>0</v>
      </c>
      <c r="O100" s="951">
        <v>0</v>
      </c>
      <c r="P100" s="951">
        <v>0</v>
      </c>
      <c r="Q100" s="1675">
        <v>0</v>
      </c>
      <c r="R100" s="1675"/>
      <c r="S100" s="951">
        <v>0</v>
      </c>
      <c r="T100" s="951">
        <v>0</v>
      </c>
      <c r="U100" s="952">
        <v>0</v>
      </c>
    </row>
    <row r="101" spans="1:21" s="953" customFormat="1" ht="15" customHeight="1">
      <c r="A101" s="945"/>
      <c r="B101" s="945"/>
      <c r="C101" s="946" t="s">
        <v>179</v>
      </c>
      <c r="D101" s="947" t="s">
        <v>157</v>
      </c>
      <c r="E101" s="948" t="s">
        <v>158</v>
      </c>
      <c r="F101" s="947" t="s">
        <v>645</v>
      </c>
      <c r="G101" s="1673" t="s">
        <v>671</v>
      </c>
      <c r="H101" s="1674" t="s">
        <v>671</v>
      </c>
      <c r="I101" s="949" t="s">
        <v>82</v>
      </c>
      <c r="J101" s="950"/>
      <c r="K101" s="951">
        <f t="shared" si="1"/>
        <v>45000000</v>
      </c>
      <c r="L101" s="951">
        <v>0</v>
      </c>
      <c r="M101" s="951">
        <v>45000000</v>
      </c>
      <c r="N101" s="951">
        <v>0</v>
      </c>
      <c r="O101" s="951">
        <v>0</v>
      </c>
      <c r="P101" s="951">
        <v>0</v>
      </c>
      <c r="Q101" s="1675">
        <v>0</v>
      </c>
      <c r="R101" s="1675"/>
      <c r="S101" s="951">
        <v>0</v>
      </c>
      <c r="T101" s="951">
        <v>0</v>
      </c>
      <c r="U101" s="952">
        <v>0</v>
      </c>
    </row>
    <row r="102" spans="1:21" s="953" customFormat="1" ht="15" customHeight="1">
      <c r="A102" s="945"/>
      <c r="B102" s="945"/>
      <c r="C102" s="946" t="s">
        <v>179</v>
      </c>
      <c r="D102" s="947" t="s">
        <v>157</v>
      </c>
      <c r="E102" s="948" t="s">
        <v>158</v>
      </c>
      <c r="F102" s="947" t="s">
        <v>645</v>
      </c>
      <c r="G102" s="1673" t="s">
        <v>671</v>
      </c>
      <c r="H102" s="1674" t="s">
        <v>671</v>
      </c>
      <c r="I102" s="949" t="s">
        <v>83</v>
      </c>
      <c r="J102" s="950"/>
      <c r="K102" s="951">
        <f t="shared" si="1"/>
        <v>0</v>
      </c>
      <c r="L102" s="951">
        <v>0</v>
      </c>
      <c r="M102" s="951">
        <v>0</v>
      </c>
      <c r="N102" s="951">
        <v>0</v>
      </c>
      <c r="O102" s="951">
        <v>0</v>
      </c>
      <c r="P102" s="951">
        <v>0</v>
      </c>
      <c r="Q102" s="1675">
        <v>0</v>
      </c>
      <c r="R102" s="1675"/>
      <c r="S102" s="951">
        <v>0</v>
      </c>
      <c r="T102" s="951">
        <v>0</v>
      </c>
      <c r="U102" s="952">
        <v>0</v>
      </c>
    </row>
    <row r="103" spans="1:21" s="953" customFormat="1">
      <c r="A103" s="945"/>
      <c r="B103" s="945"/>
      <c r="C103" s="946" t="s">
        <v>179</v>
      </c>
      <c r="D103" s="947" t="s">
        <v>157</v>
      </c>
      <c r="E103" s="948" t="s">
        <v>158</v>
      </c>
      <c r="F103" s="947" t="s">
        <v>312</v>
      </c>
      <c r="G103" s="1673" t="s">
        <v>672</v>
      </c>
      <c r="H103" s="1674" t="s">
        <v>672</v>
      </c>
      <c r="I103" s="949" t="s">
        <v>81</v>
      </c>
      <c r="J103" s="950"/>
      <c r="K103" s="951">
        <f t="shared" si="1"/>
        <v>1591964217</v>
      </c>
      <c r="L103" s="951">
        <v>0</v>
      </c>
      <c r="M103" s="951">
        <v>1591964217</v>
      </c>
      <c r="N103" s="951">
        <v>0</v>
      </c>
      <c r="O103" s="951">
        <v>0</v>
      </c>
      <c r="P103" s="951">
        <v>0</v>
      </c>
      <c r="Q103" s="1675">
        <v>0</v>
      </c>
      <c r="R103" s="1675"/>
      <c r="S103" s="951">
        <v>0</v>
      </c>
      <c r="T103" s="951">
        <v>0</v>
      </c>
      <c r="U103" s="952">
        <v>0</v>
      </c>
    </row>
    <row r="104" spans="1:21" s="953" customFormat="1">
      <c r="A104" s="945"/>
      <c r="B104" s="945"/>
      <c r="C104" s="946" t="s">
        <v>179</v>
      </c>
      <c r="D104" s="947" t="s">
        <v>157</v>
      </c>
      <c r="E104" s="948" t="s">
        <v>158</v>
      </c>
      <c r="F104" s="947" t="s">
        <v>312</v>
      </c>
      <c r="G104" s="1673" t="s">
        <v>672</v>
      </c>
      <c r="H104" s="1674" t="s">
        <v>672</v>
      </c>
      <c r="I104" s="949" t="s">
        <v>82</v>
      </c>
      <c r="J104" s="950"/>
      <c r="K104" s="951">
        <f t="shared" si="1"/>
        <v>1591964217</v>
      </c>
      <c r="L104" s="951">
        <v>0</v>
      </c>
      <c r="M104" s="951">
        <v>1591964217</v>
      </c>
      <c r="N104" s="951">
        <v>0</v>
      </c>
      <c r="O104" s="951">
        <v>0</v>
      </c>
      <c r="P104" s="951">
        <v>0</v>
      </c>
      <c r="Q104" s="1675">
        <v>0</v>
      </c>
      <c r="R104" s="1675"/>
      <c r="S104" s="951">
        <v>0</v>
      </c>
      <c r="T104" s="951">
        <v>0</v>
      </c>
      <c r="U104" s="952">
        <v>0</v>
      </c>
    </row>
    <row r="105" spans="1:21" s="953" customFormat="1">
      <c r="A105" s="945"/>
      <c r="B105" s="945"/>
      <c r="C105" s="946" t="s">
        <v>179</v>
      </c>
      <c r="D105" s="947" t="s">
        <v>157</v>
      </c>
      <c r="E105" s="948" t="s">
        <v>158</v>
      </c>
      <c r="F105" s="947" t="s">
        <v>312</v>
      </c>
      <c r="G105" s="1673" t="s">
        <v>672</v>
      </c>
      <c r="H105" s="1674" t="s">
        <v>672</v>
      </c>
      <c r="I105" s="949" t="s">
        <v>83</v>
      </c>
      <c r="J105" s="950"/>
      <c r="K105" s="951">
        <f t="shared" si="1"/>
        <v>0</v>
      </c>
      <c r="L105" s="951">
        <v>0</v>
      </c>
      <c r="M105" s="951">
        <v>0</v>
      </c>
      <c r="N105" s="951">
        <v>0</v>
      </c>
      <c r="O105" s="951">
        <v>0</v>
      </c>
      <c r="P105" s="951">
        <v>0</v>
      </c>
      <c r="Q105" s="1675">
        <v>0</v>
      </c>
      <c r="R105" s="1675"/>
      <c r="S105" s="951">
        <v>0</v>
      </c>
      <c r="T105" s="951">
        <v>0</v>
      </c>
      <c r="U105" s="952">
        <v>0</v>
      </c>
    </row>
    <row r="106" spans="1:21" s="953" customFormat="1">
      <c r="A106" s="945"/>
      <c r="B106" s="945"/>
      <c r="C106" s="946" t="s">
        <v>179</v>
      </c>
      <c r="D106" s="947" t="s">
        <v>157</v>
      </c>
      <c r="E106" s="948" t="s">
        <v>158</v>
      </c>
      <c r="F106" s="947" t="s">
        <v>673</v>
      </c>
      <c r="G106" s="1673" t="s">
        <v>674</v>
      </c>
      <c r="H106" s="1674" t="s">
        <v>674</v>
      </c>
      <c r="I106" s="949" t="s">
        <v>81</v>
      </c>
      <c r="J106" s="950"/>
      <c r="K106" s="951">
        <f t="shared" si="1"/>
        <v>189512300</v>
      </c>
      <c r="L106" s="951">
        <v>0</v>
      </c>
      <c r="M106" s="951">
        <v>189512300</v>
      </c>
      <c r="N106" s="951">
        <v>0</v>
      </c>
      <c r="O106" s="951">
        <v>0</v>
      </c>
      <c r="P106" s="951">
        <v>0</v>
      </c>
      <c r="Q106" s="1675">
        <v>0</v>
      </c>
      <c r="R106" s="1675"/>
      <c r="S106" s="951">
        <v>0</v>
      </c>
      <c r="T106" s="951">
        <v>0</v>
      </c>
      <c r="U106" s="952">
        <v>0</v>
      </c>
    </row>
    <row r="107" spans="1:21" s="953" customFormat="1">
      <c r="A107" s="945"/>
      <c r="B107" s="945"/>
      <c r="C107" s="946" t="s">
        <v>179</v>
      </c>
      <c r="D107" s="947" t="s">
        <v>157</v>
      </c>
      <c r="E107" s="948" t="s">
        <v>158</v>
      </c>
      <c r="F107" s="947" t="s">
        <v>673</v>
      </c>
      <c r="G107" s="1673" t="s">
        <v>674</v>
      </c>
      <c r="H107" s="1674" t="s">
        <v>674</v>
      </c>
      <c r="I107" s="949" t="s">
        <v>82</v>
      </c>
      <c r="J107" s="950"/>
      <c r="K107" s="951">
        <f t="shared" si="1"/>
        <v>189512300</v>
      </c>
      <c r="L107" s="951">
        <v>0</v>
      </c>
      <c r="M107" s="951">
        <v>189512300</v>
      </c>
      <c r="N107" s="951">
        <v>0</v>
      </c>
      <c r="O107" s="951">
        <v>0</v>
      </c>
      <c r="P107" s="951">
        <v>0</v>
      </c>
      <c r="Q107" s="1675">
        <v>0</v>
      </c>
      <c r="R107" s="1675"/>
      <c r="S107" s="951">
        <v>0</v>
      </c>
      <c r="T107" s="951">
        <v>0</v>
      </c>
      <c r="U107" s="952">
        <v>0</v>
      </c>
    </row>
    <row r="108" spans="1:21" s="953" customFormat="1">
      <c r="A108" s="945"/>
      <c r="B108" s="945"/>
      <c r="C108" s="946" t="s">
        <v>179</v>
      </c>
      <c r="D108" s="947" t="s">
        <v>157</v>
      </c>
      <c r="E108" s="948" t="s">
        <v>158</v>
      </c>
      <c r="F108" s="947" t="s">
        <v>673</v>
      </c>
      <c r="G108" s="1673" t="s">
        <v>674</v>
      </c>
      <c r="H108" s="1674" t="s">
        <v>674</v>
      </c>
      <c r="I108" s="949" t="s">
        <v>83</v>
      </c>
      <c r="J108" s="950"/>
      <c r="K108" s="951">
        <f t="shared" si="1"/>
        <v>0</v>
      </c>
      <c r="L108" s="951">
        <v>0</v>
      </c>
      <c r="M108" s="951">
        <v>0</v>
      </c>
      <c r="N108" s="951">
        <v>0</v>
      </c>
      <c r="O108" s="951">
        <v>0</v>
      </c>
      <c r="P108" s="951">
        <v>0</v>
      </c>
      <c r="Q108" s="1675">
        <v>0</v>
      </c>
      <c r="R108" s="1675"/>
      <c r="S108" s="951">
        <v>0</v>
      </c>
      <c r="T108" s="951">
        <v>0</v>
      </c>
      <c r="U108" s="952">
        <v>0</v>
      </c>
    </row>
    <row r="109" spans="1:21" s="953" customFormat="1" ht="15" customHeight="1">
      <c r="A109" s="945"/>
      <c r="B109" s="945"/>
      <c r="C109" s="946" t="s">
        <v>179</v>
      </c>
      <c r="D109" s="947" t="s">
        <v>157</v>
      </c>
      <c r="E109" s="948" t="s">
        <v>158</v>
      </c>
      <c r="F109" s="947" t="s">
        <v>675</v>
      </c>
      <c r="G109" s="1673" t="s">
        <v>676</v>
      </c>
      <c r="H109" s="1674" t="s">
        <v>676</v>
      </c>
      <c r="I109" s="949" t="s">
        <v>81</v>
      </c>
      <c r="J109" s="950"/>
      <c r="K109" s="951">
        <f t="shared" si="1"/>
        <v>3551387</v>
      </c>
      <c r="L109" s="951">
        <v>0</v>
      </c>
      <c r="M109" s="951">
        <v>3551387</v>
      </c>
      <c r="N109" s="951">
        <v>0</v>
      </c>
      <c r="O109" s="951">
        <v>0</v>
      </c>
      <c r="P109" s="951">
        <v>0</v>
      </c>
      <c r="Q109" s="1675">
        <v>0</v>
      </c>
      <c r="R109" s="1675"/>
      <c r="S109" s="951">
        <v>0</v>
      </c>
      <c r="T109" s="951">
        <v>0</v>
      </c>
      <c r="U109" s="952">
        <v>0</v>
      </c>
    </row>
    <row r="110" spans="1:21" s="953" customFormat="1" ht="15" customHeight="1">
      <c r="A110" s="945"/>
      <c r="B110" s="945"/>
      <c r="C110" s="946" t="s">
        <v>179</v>
      </c>
      <c r="D110" s="947" t="s">
        <v>157</v>
      </c>
      <c r="E110" s="948" t="s">
        <v>158</v>
      </c>
      <c r="F110" s="947" t="s">
        <v>675</v>
      </c>
      <c r="G110" s="1673" t="s">
        <v>676</v>
      </c>
      <c r="H110" s="1674" t="s">
        <v>676</v>
      </c>
      <c r="I110" s="949" t="s">
        <v>82</v>
      </c>
      <c r="J110" s="950"/>
      <c r="K110" s="951">
        <f t="shared" si="1"/>
        <v>3551387</v>
      </c>
      <c r="L110" s="951">
        <v>0</v>
      </c>
      <c r="M110" s="951">
        <v>3551387</v>
      </c>
      <c r="N110" s="951">
        <v>0</v>
      </c>
      <c r="O110" s="951">
        <v>0</v>
      </c>
      <c r="P110" s="951">
        <v>0</v>
      </c>
      <c r="Q110" s="1675">
        <v>0</v>
      </c>
      <c r="R110" s="1675"/>
      <c r="S110" s="951">
        <v>0</v>
      </c>
      <c r="T110" s="951">
        <v>0</v>
      </c>
      <c r="U110" s="952">
        <v>0</v>
      </c>
    </row>
    <row r="111" spans="1:21" s="953" customFormat="1" ht="15" customHeight="1">
      <c r="A111" s="945"/>
      <c r="B111" s="945"/>
      <c r="C111" s="946" t="s">
        <v>179</v>
      </c>
      <c r="D111" s="947" t="s">
        <v>157</v>
      </c>
      <c r="E111" s="948" t="s">
        <v>158</v>
      </c>
      <c r="F111" s="947" t="s">
        <v>675</v>
      </c>
      <c r="G111" s="1673" t="s">
        <v>676</v>
      </c>
      <c r="H111" s="1674" t="s">
        <v>676</v>
      </c>
      <c r="I111" s="949" t="s">
        <v>83</v>
      </c>
      <c r="J111" s="950"/>
      <c r="K111" s="951">
        <f t="shared" si="1"/>
        <v>0</v>
      </c>
      <c r="L111" s="951">
        <v>0</v>
      </c>
      <c r="M111" s="951">
        <v>0</v>
      </c>
      <c r="N111" s="951">
        <v>0</v>
      </c>
      <c r="O111" s="951">
        <v>0</v>
      </c>
      <c r="P111" s="951">
        <v>0</v>
      </c>
      <c r="Q111" s="1675">
        <v>0</v>
      </c>
      <c r="R111" s="1675"/>
      <c r="S111" s="951">
        <v>0</v>
      </c>
      <c r="T111" s="951">
        <v>0</v>
      </c>
      <c r="U111" s="952">
        <v>0</v>
      </c>
    </row>
    <row r="112" spans="1:21" s="953" customFormat="1">
      <c r="A112" s="945"/>
      <c r="B112" s="945"/>
      <c r="C112" s="946" t="s">
        <v>179</v>
      </c>
      <c r="D112" s="947" t="s">
        <v>157</v>
      </c>
      <c r="E112" s="948" t="s">
        <v>158</v>
      </c>
      <c r="F112" s="947" t="s">
        <v>318</v>
      </c>
      <c r="G112" s="1673" t="s">
        <v>677</v>
      </c>
      <c r="H112" s="1674" t="s">
        <v>677</v>
      </c>
      <c r="I112" s="949" t="s">
        <v>81</v>
      </c>
      <c r="J112" s="950"/>
      <c r="K112" s="951">
        <f t="shared" si="1"/>
        <v>0</v>
      </c>
      <c r="L112" s="951">
        <v>0</v>
      </c>
      <c r="M112" s="951">
        <v>0</v>
      </c>
      <c r="N112" s="951">
        <v>0</v>
      </c>
      <c r="O112" s="951">
        <v>0</v>
      </c>
      <c r="P112" s="951">
        <v>0</v>
      </c>
      <c r="Q112" s="1675">
        <v>0</v>
      </c>
      <c r="R112" s="1675"/>
      <c r="S112" s="951">
        <v>0</v>
      </c>
      <c r="T112" s="951">
        <v>0</v>
      </c>
      <c r="U112" s="952">
        <v>0</v>
      </c>
    </row>
    <row r="113" spans="1:21" s="953" customFormat="1">
      <c r="A113" s="945"/>
      <c r="B113" s="945"/>
      <c r="C113" s="946" t="s">
        <v>179</v>
      </c>
      <c r="D113" s="947" t="s">
        <v>157</v>
      </c>
      <c r="E113" s="948" t="s">
        <v>158</v>
      </c>
      <c r="F113" s="947" t="s">
        <v>318</v>
      </c>
      <c r="G113" s="1673" t="s">
        <v>677</v>
      </c>
      <c r="H113" s="1674" t="s">
        <v>677</v>
      </c>
      <c r="I113" s="949" t="s">
        <v>82</v>
      </c>
      <c r="J113" s="950"/>
      <c r="K113" s="951">
        <f t="shared" si="1"/>
        <v>38821262</v>
      </c>
      <c r="L113" s="951">
        <v>0</v>
      </c>
      <c r="M113" s="951">
        <v>38821262</v>
      </c>
      <c r="N113" s="951">
        <v>0</v>
      </c>
      <c r="O113" s="951">
        <v>0</v>
      </c>
      <c r="P113" s="951">
        <v>0</v>
      </c>
      <c r="Q113" s="1675">
        <v>0</v>
      </c>
      <c r="R113" s="1675"/>
      <c r="S113" s="951">
        <v>0</v>
      </c>
      <c r="T113" s="951">
        <v>0</v>
      </c>
      <c r="U113" s="952">
        <v>0</v>
      </c>
    </row>
    <row r="114" spans="1:21" s="953" customFormat="1">
      <c r="A114" s="945"/>
      <c r="B114" s="945"/>
      <c r="C114" s="946" t="s">
        <v>179</v>
      </c>
      <c r="D114" s="947" t="s">
        <v>157</v>
      </c>
      <c r="E114" s="948" t="s">
        <v>158</v>
      </c>
      <c r="F114" s="947" t="s">
        <v>318</v>
      </c>
      <c r="G114" s="1673" t="s">
        <v>677</v>
      </c>
      <c r="H114" s="1674" t="s">
        <v>677</v>
      </c>
      <c r="I114" s="949" t="s">
        <v>83</v>
      </c>
      <c r="J114" s="950"/>
      <c r="K114" s="951">
        <f t="shared" si="1"/>
        <v>845681</v>
      </c>
      <c r="L114" s="951">
        <v>0</v>
      </c>
      <c r="M114" s="951">
        <v>845681</v>
      </c>
      <c r="N114" s="951">
        <v>0</v>
      </c>
      <c r="O114" s="951">
        <v>0</v>
      </c>
      <c r="P114" s="951">
        <v>0</v>
      </c>
      <c r="Q114" s="1675">
        <v>0</v>
      </c>
      <c r="R114" s="1675"/>
      <c r="S114" s="951">
        <v>0</v>
      </c>
      <c r="T114" s="951">
        <v>0</v>
      </c>
      <c r="U114" s="952">
        <v>0</v>
      </c>
    </row>
    <row r="115" spans="1:21" s="953" customFormat="1">
      <c r="A115" s="945"/>
      <c r="B115" s="945"/>
      <c r="C115" s="946" t="s">
        <v>179</v>
      </c>
      <c r="D115" s="947" t="s">
        <v>157</v>
      </c>
      <c r="E115" s="948" t="s">
        <v>158</v>
      </c>
      <c r="F115" s="947" t="s">
        <v>678</v>
      </c>
      <c r="G115" s="1673" t="s">
        <v>310</v>
      </c>
      <c r="H115" s="1674" t="s">
        <v>310</v>
      </c>
      <c r="I115" s="949" t="s">
        <v>81</v>
      </c>
      <c r="J115" s="950"/>
      <c r="K115" s="951">
        <f t="shared" si="1"/>
        <v>3339684.09</v>
      </c>
      <c r="L115" s="951">
        <v>0</v>
      </c>
      <c r="M115" s="951">
        <v>3339684.09</v>
      </c>
      <c r="N115" s="951">
        <v>0</v>
      </c>
      <c r="O115" s="951">
        <v>0</v>
      </c>
      <c r="P115" s="951">
        <v>0</v>
      </c>
      <c r="Q115" s="1675">
        <v>0</v>
      </c>
      <c r="R115" s="1675"/>
      <c r="S115" s="951">
        <v>0</v>
      </c>
      <c r="T115" s="951">
        <v>0</v>
      </c>
      <c r="U115" s="952">
        <v>0</v>
      </c>
    </row>
    <row r="116" spans="1:21" s="953" customFormat="1">
      <c r="A116" s="945"/>
      <c r="B116" s="945"/>
      <c r="C116" s="946" t="s">
        <v>179</v>
      </c>
      <c r="D116" s="947" t="s">
        <v>157</v>
      </c>
      <c r="E116" s="948" t="s">
        <v>158</v>
      </c>
      <c r="F116" s="947" t="s">
        <v>678</v>
      </c>
      <c r="G116" s="1673" t="s">
        <v>310</v>
      </c>
      <c r="H116" s="1674" t="s">
        <v>310</v>
      </c>
      <c r="I116" s="949" t="s">
        <v>82</v>
      </c>
      <c r="J116" s="950"/>
      <c r="K116" s="951">
        <f t="shared" si="1"/>
        <v>3339684.09</v>
      </c>
      <c r="L116" s="951">
        <v>0</v>
      </c>
      <c r="M116" s="951">
        <v>3339684.09</v>
      </c>
      <c r="N116" s="951">
        <v>0</v>
      </c>
      <c r="O116" s="951">
        <v>0</v>
      </c>
      <c r="P116" s="951">
        <v>0</v>
      </c>
      <c r="Q116" s="1675">
        <v>0</v>
      </c>
      <c r="R116" s="1675"/>
      <c r="S116" s="951">
        <v>0</v>
      </c>
      <c r="T116" s="951">
        <v>0</v>
      </c>
      <c r="U116" s="952">
        <v>0</v>
      </c>
    </row>
    <row r="117" spans="1:21" s="953" customFormat="1">
      <c r="A117" s="945"/>
      <c r="B117" s="945"/>
      <c r="C117" s="946" t="s">
        <v>179</v>
      </c>
      <c r="D117" s="947" t="s">
        <v>157</v>
      </c>
      <c r="E117" s="948" t="s">
        <v>158</v>
      </c>
      <c r="F117" s="947" t="s">
        <v>678</v>
      </c>
      <c r="G117" s="1673" t="s">
        <v>310</v>
      </c>
      <c r="H117" s="1674" t="s">
        <v>310</v>
      </c>
      <c r="I117" s="949" t="s">
        <v>83</v>
      </c>
      <c r="J117" s="950"/>
      <c r="K117" s="951">
        <f t="shared" si="1"/>
        <v>1200</v>
      </c>
      <c r="L117" s="951">
        <v>0</v>
      </c>
      <c r="M117" s="951">
        <v>1200</v>
      </c>
      <c r="N117" s="951">
        <v>0</v>
      </c>
      <c r="O117" s="951">
        <v>0</v>
      </c>
      <c r="P117" s="951">
        <v>0</v>
      </c>
      <c r="Q117" s="1675">
        <v>0</v>
      </c>
      <c r="R117" s="1675"/>
      <c r="S117" s="951">
        <v>0</v>
      </c>
      <c r="T117" s="951">
        <v>0</v>
      </c>
      <c r="U117" s="952">
        <v>0</v>
      </c>
    </row>
    <row r="118" spans="1:21" s="953" customFormat="1">
      <c r="A118" s="945"/>
      <c r="B118" s="945"/>
      <c r="C118" s="946" t="s">
        <v>179</v>
      </c>
      <c r="D118" s="947" t="s">
        <v>157</v>
      </c>
      <c r="E118" s="948" t="s">
        <v>158</v>
      </c>
      <c r="F118" s="947" t="s">
        <v>679</v>
      </c>
      <c r="G118" s="1673" t="s">
        <v>680</v>
      </c>
      <c r="H118" s="1674" t="s">
        <v>680</v>
      </c>
      <c r="I118" s="949" t="s">
        <v>81</v>
      </c>
      <c r="J118" s="950"/>
      <c r="K118" s="951">
        <f t="shared" si="1"/>
        <v>29577273.93</v>
      </c>
      <c r="L118" s="951">
        <v>0</v>
      </c>
      <c r="M118" s="951">
        <v>29577273.93</v>
      </c>
      <c r="N118" s="951">
        <v>0</v>
      </c>
      <c r="O118" s="951">
        <v>0</v>
      </c>
      <c r="P118" s="951">
        <v>0</v>
      </c>
      <c r="Q118" s="1675">
        <v>0</v>
      </c>
      <c r="R118" s="1675"/>
      <c r="S118" s="951">
        <v>0</v>
      </c>
      <c r="T118" s="951">
        <v>0</v>
      </c>
      <c r="U118" s="952">
        <v>0</v>
      </c>
    </row>
    <row r="119" spans="1:21" s="953" customFormat="1">
      <c r="A119" s="945"/>
      <c r="B119" s="945"/>
      <c r="C119" s="946" t="s">
        <v>179</v>
      </c>
      <c r="D119" s="947" t="s">
        <v>157</v>
      </c>
      <c r="E119" s="948" t="s">
        <v>158</v>
      </c>
      <c r="F119" s="947" t="s">
        <v>679</v>
      </c>
      <c r="G119" s="1673" t="s">
        <v>680</v>
      </c>
      <c r="H119" s="1674" t="s">
        <v>680</v>
      </c>
      <c r="I119" s="949" t="s">
        <v>82</v>
      </c>
      <c r="J119" s="950"/>
      <c r="K119" s="951">
        <f t="shared" si="1"/>
        <v>29577273.93</v>
      </c>
      <c r="L119" s="951">
        <v>0</v>
      </c>
      <c r="M119" s="951">
        <v>29577273.93</v>
      </c>
      <c r="N119" s="951">
        <v>0</v>
      </c>
      <c r="O119" s="951">
        <v>0</v>
      </c>
      <c r="P119" s="951">
        <v>0</v>
      </c>
      <c r="Q119" s="1675">
        <v>0</v>
      </c>
      <c r="R119" s="1675"/>
      <c r="S119" s="951">
        <v>0</v>
      </c>
      <c r="T119" s="951">
        <v>0</v>
      </c>
      <c r="U119" s="952">
        <v>0</v>
      </c>
    </row>
    <row r="120" spans="1:21" s="953" customFormat="1">
      <c r="A120" s="945"/>
      <c r="B120" s="945"/>
      <c r="C120" s="946" t="s">
        <v>179</v>
      </c>
      <c r="D120" s="947" t="s">
        <v>157</v>
      </c>
      <c r="E120" s="948" t="s">
        <v>158</v>
      </c>
      <c r="F120" s="947" t="s">
        <v>679</v>
      </c>
      <c r="G120" s="1673" t="s">
        <v>680</v>
      </c>
      <c r="H120" s="1674" t="s">
        <v>680</v>
      </c>
      <c r="I120" s="949" t="s">
        <v>83</v>
      </c>
      <c r="J120" s="950"/>
      <c r="K120" s="951">
        <f t="shared" si="1"/>
        <v>1200</v>
      </c>
      <c r="L120" s="951">
        <v>0</v>
      </c>
      <c r="M120" s="951">
        <v>1200</v>
      </c>
      <c r="N120" s="951">
        <v>0</v>
      </c>
      <c r="O120" s="951">
        <v>0</v>
      </c>
      <c r="P120" s="951">
        <v>0</v>
      </c>
      <c r="Q120" s="1675">
        <v>0</v>
      </c>
      <c r="R120" s="1675"/>
      <c r="S120" s="951">
        <v>0</v>
      </c>
      <c r="T120" s="951">
        <v>0</v>
      </c>
      <c r="U120" s="952">
        <v>0</v>
      </c>
    </row>
    <row r="121" spans="1:21">
      <c r="A121" s="60"/>
      <c r="B121" s="60"/>
      <c r="C121" s="934" t="s">
        <v>179</v>
      </c>
      <c r="D121" s="935" t="s">
        <v>157</v>
      </c>
      <c r="E121" s="936" t="s">
        <v>158</v>
      </c>
      <c r="F121" s="935" t="s">
        <v>681</v>
      </c>
      <c r="G121" s="1671" t="s">
        <v>311</v>
      </c>
      <c r="H121" s="1672" t="s">
        <v>311</v>
      </c>
      <c r="I121" s="937" t="s">
        <v>81</v>
      </c>
      <c r="J121" s="938"/>
      <c r="K121" s="939">
        <f t="shared" si="1"/>
        <v>601</v>
      </c>
      <c r="L121" s="939">
        <v>0</v>
      </c>
      <c r="M121" s="939">
        <v>601</v>
      </c>
      <c r="N121" s="939">
        <v>0</v>
      </c>
      <c r="O121" s="939">
        <v>0</v>
      </c>
      <c r="P121" s="939">
        <v>0</v>
      </c>
      <c r="Q121" s="1669">
        <v>0</v>
      </c>
      <c r="R121" s="1669"/>
      <c r="S121" s="939">
        <v>0</v>
      </c>
      <c r="T121" s="939">
        <v>0</v>
      </c>
      <c r="U121" s="940">
        <v>0</v>
      </c>
    </row>
    <row r="122" spans="1:21">
      <c r="A122" s="60"/>
      <c r="B122" s="60"/>
      <c r="C122" s="934" t="s">
        <v>179</v>
      </c>
      <c r="D122" s="935" t="s">
        <v>157</v>
      </c>
      <c r="E122" s="936" t="s">
        <v>158</v>
      </c>
      <c r="F122" s="935" t="s">
        <v>681</v>
      </c>
      <c r="G122" s="1671" t="s">
        <v>311</v>
      </c>
      <c r="H122" s="1672" t="s">
        <v>311</v>
      </c>
      <c r="I122" s="937" t="s">
        <v>82</v>
      </c>
      <c r="J122" s="938"/>
      <c r="K122" s="939">
        <f t="shared" si="1"/>
        <v>601</v>
      </c>
      <c r="L122" s="939">
        <v>0</v>
      </c>
      <c r="M122" s="939">
        <v>601</v>
      </c>
      <c r="N122" s="939">
        <v>0</v>
      </c>
      <c r="O122" s="939">
        <v>0</v>
      </c>
      <c r="P122" s="939">
        <v>0</v>
      </c>
      <c r="Q122" s="1669">
        <v>0</v>
      </c>
      <c r="R122" s="1669"/>
      <c r="S122" s="939">
        <v>0</v>
      </c>
      <c r="T122" s="939">
        <v>0</v>
      </c>
      <c r="U122" s="940">
        <v>0</v>
      </c>
    </row>
    <row r="123" spans="1:21">
      <c r="A123" s="60"/>
      <c r="B123" s="60"/>
      <c r="C123" s="934" t="s">
        <v>179</v>
      </c>
      <c r="D123" s="935" t="s">
        <v>157</v>
      </c>
      <c r="E123" s="936" t="s">
        <v>158</v>
      </c>
      <c r="F123" s="935" t="s">
        <v>681</v>
      </c>
      <c r="G123" s="1671" t="s">
        <v>311</v>
      </c>
      <c r="H123" s="1672" t="s">
        <v>311</v>
      </c>
      <c r="I123" s="937" t="s">
        <v>83</v>
      </c>
      <c r="J123" s="938"/>
      <c r="K123" s="939">
        <f t="shared" si="1"/>
        <v>1200</v>
      </c>
      <c r="L123" s="939">
        <v>0</v>
      </c>
      <c r="M123" s="939">
        <v>1200</v>
      </c>
      <c r="N123" s="939">
        <v>0</v>
      </c>
      <c r="O123" s="939">
        <v>0</v>
      </c>
      <c r="P123" s="939">
        <v>0</v>
      </c>
      <c r="Q123" s="1669">
        <v>0</v>
      </c>
      <c r="R123" s="1669"/>
      <c r="S123" s="939">
        <v>0</v>
      </c>
      <c r="T123" s="939">
        <v>0</v>
      </c>
      <c r="U123" s="940">
        <v>0</v>
      </c>
    </row>
    <row r="124" spans="1:21">
      <c r="A124" s="60"/>
      <c r="B124" s="60"/>
      <c r="C124" s="934" t="s">
        <v>179</v>
      </c>
      <c r="D124" s="935" t="s">
        <v>157</v>
      </c>
      <c r="E124" s="936" t="s">
        <v>158</v>
      </c>
      <c r="F124" s="935" t="s">
        <v>682</v>
      </c>
      <c r="G124" s="1671" t="s">
        <v>313</v>
      </c>
      <c r="H124" s="1672" t="s">
        <v>313</v>
      </c>
      <c r="I124" s="937" t="s">
        <v>81</v>
      </c>
      <c r="J124" s="938"/>
      <c r="K124" s="939">
        <f t="shared" si="1"/>
        <v>368872.65</v>
      </c>
      <c r="L124" s="939">
        <v>0</v>
      </c>
      <c r="M124" s="939">
        <v>368872.65</v>
      </c>
      <c r="N124" s="939">
        <v>0</v>
      </c>
      <c r="O124" s="939">
        <v>0</v>
      </c>
      <c r="P124" s="939">
        <v>0</v>
      </c>
      <c r="Q124" s="1669">
        <v>0</v>
      </c>
      <c r="R124" s="1669"/>
      <c r="S124" s="939">
        <v>0</v>
      </c>
      <c r="T124" s="939">
        <v>0</v>
      </c>
      <c r="U124" s="940">
        <v>0</v>
      </c>
    </row>
    <row r="125" spans="1:21">
      <c r="A125" s="60"/>
      <c r="B125" s="60"/>
      <c r="C125" s="934" t="s">
        <v>179</v>
      </c>
      <c r="D125" s="935" t="s">
        <v>157</v>
      </c>
      <c r="E125" s="936" t="s">
        <v>158</v>
      </c>
      <c r="F125" s="935" t="s">
        <v>682</v>
      </c>
      <c r="G125" s="1671" t="s">
        <v>313</v>
      </c>
      <c r="H125" s="1672" t="s">
        <v>313</v>
      </c>
      <c r="I125" s="937" t="s">
        <v>82</v>
      </c>
      <c r="J125" s="938"/>
      <c r="K125" s="939">
        <f t="shared" si="1"/>
        <v>368872.65</v>
      </c>
      <c r="L125" s="939">
        <v>0</v>
      </c>
      <c r="M125" s="939">
        <v>368872.65</v>
      </c>
      <c r="N125" s="939">
        <v>0</v>
      </c>
      <c r="O125" s="939">
        <v>0</v>
      </c>
      <c r="P125" s="939">
        <v>0</v>
      </c>
      <c r="Q125" s="1669">
        <v>0</v>
      </c>
      <c r="R125" s="1669"/>
      <c r="S125" s="939">
        <v>0</v>
      </c>
      <c r="T125" s="939">
        <v>0</v>
      </c>
      <c r="U125" s="940">
        <v>0</v>
      </c>
    </row>
    <row r="126" spans="1:21">
      <c r="A126" s="60"/>
      <c r="B126" s="60"/>
      <c r="C126" s="934" t="s">
        <v>179</v>
      </c>
      <c r="D126" s="935" t="s">
        <v>157</v>
      </c>
      <c r="E126" s="936" t="s">
        <v>158</v>
      </c>
      <c r="F126" s="935" t="s">
        <v>682</v>
      </c>
      <c r="G126" s="1671" t="s">
        <v>313</v>
      </c>
      <c r="H126" s="1672" t="s">
        <v>313</v>
      </c>
      <c r="I126" s="937" t="s">
        <v>83</v>
      </c>
      <c r="J126" s="938"/>
      <c r="K126" s="939">
        <f t="shared" si="1"/>
        <v>307142</v>
      </c>
      <c r="L126" s="939">
        <v>0</v>
      </c>
      <c r="M126" s="939">
        <v>307142</v>
      </c>
      <c r="N126" s="939">
        <v>0</v>
      </c>
      <c r="O126" s="939">
        <v>0</v>
      </c>
      <c r="P126" s="939">
        <v>0</v>
      </c>
      <c r="Q126" s="1669">
        <v>0</v>
      </c>
      <c r="R126" s="1669"/>
      <c r="S126" s="939">
        <v>0</v>
      </c>
      <c r="T126" s="939">
        <v>0</v>
      </c>
      <c r="U126" s="940">
        <v>0</v>
      </c>
    </row>
    <row r="127" spans="1:21">
      <c r="A127" s="60"/>
      <c r="B127" s="60"/>
      <c r="C127" s="934" t="s">
        <v>179</v>
      </c>
      <c r="D127" s="935" t="s">
        <v>157</v>
      </c>
      <c r="E127" s="936" t="s">
        <v>158</v>
      </c>
      <c r="F127" s="935" t="s">
        <v>683</v>
      </c>
      <c r="G127" s="1671" t="s">
        <v>314</v>
      </c>
      <c r="H127" s="1672" t="s">
        <v>314</v>
      </c>
      <c r="I127" s="937" t="s">
        <v>81</v>
      </c>
      <c r="J127" s="938"/>
      <c r="K127" s="939">
        <f t="shared" si="1"/>
        <v>15700839.149999999</v>
      </c>
      <c r="L127" s="939">
        <v>0</v>
      </c>
      <c r="M127" s="939">
        <v>15700839.149999999</v>
      </c>
      <c r="N127" s="939">
        <v>0</v>
      </c>
      <c r="O127" s="939">
        <v>0</v>
      </c>
      <c r="P127" s="939">
        <v>0</v>
      </c>
      <c r="Q127" s="1669">
        <v>0</v>
      </c>
      <c r="R127" s="1669"/>
      <c r="S127" s="939">
        <v>0</v>
      </c>
      <c r="T127" s="939">
        <v>0</v>
      </c>
      <c r="U127" s="940">
        <v>0</v>
      </c>
    </row>
    <row r="128" spans="1:21">
      <c r="A128" s="60"/>
      <c r="B128" s="60"/>
      <c r="C128" s="934" t="s">
        <v>179</v>
      </c>
      <c r="D128" s="935" t="s">
        <v>157</v>
      </c>
      <c r="E128" s="936" t="s">
        <v>158</v>
      </c>
      <c r="F128" s="935" t="s">
        <v>683</v>
      </c>
      <c r="G128" s="1671" t="s">
        <v>314</v>
      </c>
      <c r="H128" s="1672" t="s">
        <v>314</v>
      </c>
      <c r="I128" s="937" t="s">
        <v>82</v>
      </c>
      <c r="J128" s="938"/>
      <c r="K128" s="939">
        <f t="shared" si="1"/>
        <v>15700839.149999999</v>
      </c>
      <c r="L128" s="939">
        <v>0</v>
      </c>
      <c r="M128" s="939">
        <v>15700839.149999999</v>
      </c>
      <c r="N128" s="939">
        <v>0</v>
      </c>
      <c r="O128" s="939">
        <v>0</v>
      </c>
      <c r="P128" s="939">
        <v>0</v>
      </c>
      <c r="Q128" s="1669">
        <v>0</v>
      </c>
      <c r="R128" s="1669"/>
      <c r="S128" s="939">
        <v>0</v>
      </c>
      <c r="T128" s="939">
        <v>0</v>
      </c>
      <c r="U128" s="940">
        <v>0</v>
      </c>
    </row>
    <row r="129" spans="1:21">
      <c r="A129" s="60"/>
      <c r="B129" s="60"/>
      <c r="C129" s="934" t="s">
        <v>179</v>
      </c>
      <c r="D129" s="935" t="s">
        <v>157</v>
      </c>
      <c r="E129" s="936" t="s">
        <v>158</v>
      </c>
      <c r="F129" s="935" t="s">
        <v>683</v>
      </c>
      <c r="G129" s="1671" t="s">
        <v>314</v>
      </c>
      <c r="H129" s="1672" t="s">
        <v>314</v>
      </c>
      <c r="I129" s="937" t="s">
        <v>83</v>
      </c>
      <c r="J129" s="938"/>
      <c r="K129" s="939">
        <f t="shared" si="1"/>
        <v>14719925.699999999</v>
      </c>
      <c r="L129" s="939">
        <v>0</v>
      </c>
      <c r="M129" s="939">
        <v>14719925.699999999</v>
      </c>
      <c r="N129" s="939">
        <v>0</v>
      </c>
      <c r="O129" s="939">
        <v>0</v>
      </c>
      <c r="P129" s="939">
        <v>0</v>
      </c>
      <c r="Q129" s="1669">
        <v>0</v>
      </c>
      <c r="R129" s="1669"/>
      <c r="S129" s="939">
        <v>0</v>
      </c>
      <c r="T129" s="939">
        <v>0</v>
      </c>
      <c r="U129" s="940">
        <v>0</v>
      </c>
    </row>
    <row r="130" spans="1:21">
      <c r="A130" s="60"/>
      <c r="B130" s="60"/>
      <c r="C130" s="934"/>
      <c r="D130" s="935"/>
      <c r="E130" s="936"/>
      <c r="F130" s="935"/>
      <c r="G130" s="1668" t="s">
        <v>714</v>
      </c>
      <c r="H130" s="1668"/>
      <c r="I130" s="937" t="s">
        <v>81</v>
      </c>
      <c r="J130" s="938"/>
      <c r="K130" s="939">
        <f>SUM(L130:U130)</f>
        <v>5791250000.4700012</v>
      </c>
      <c r="L130" s="939">
        <v>0</v>
      </c>
      <c r="M130" s="939">
        <f>K22+K25+K28+K31+K34+K37+K40+K43+K46+K49+K52+K55+K58+K61+K70+K73+K76+K79+K82+K85+K88+K91+K94+K97+K100+K103+K112+K115+K124+K127+K64+K106+K109+K13+K16+K19+K118+K121</f>
        <v>4532050000.4700012</v>
      </c>
      <c r="N130" s="939">
        <f>N7+N10+N16+N67</f>
        <v>261800000</v>
      </c>
      <c r="O130" s="939">
        <f>O7+O16+O67</f>
        <v>38400000</v>
      </c>
      <c r="P130" s="939">
        <f>P7+P13+P67</f>
        <v>441000000</v>
      </c>
      <c r="Q130" s="1669">
        <v>0</v>
      </c>
      <c r="R130" s="1669"/>
      <c r="S130" s="939">
        <f>S10+S19</f>
        <v>500000000</v>
      </c>
      <c r="T130" s="939">
        <f>T7</f>
        <v>18000000</v>
      </c>
      <c r="U130" s="939">
        <f>U7</f>
        <v>0</v>
      </c>
    </row>
    <row r="131" spans="1:21">
      <c r="A131" s="60"/>
      <c r="B131" s="60"/>
      <c r="C131" s="934"/>
      <c r="D131" s="935"/>
      <c r="E131" s="936"/>
      <c r="F131" s="935"/>
      <c r="G131" s="1668" t="s">
        <v>714</v>
      </c>
      <c r="H131" s="1668"/>
      <c r="I131" s="937" t="s">
        <v>82</v>
      </c>
      <c r="J131" s="938"/>
      <c r="K131" s="939">
        <f>SUM(L131:U131)</f>
        <v>5791250000.4700003</v>
      </c>
      <c r="L131" s="939">
        <v>0</v>
      </c>
      <c r="M131" s="939">
        <f>K23+K26+K29+K32+K35+K38+K41+K44+K47+K50+K53+K56+K59+K62+K71+K74+K77+K80+K83+K86+K89+K92+K95+K98+K101+K104+K113+K116+K107+K110+K65+K119+K122+K125+K128+K14+K17+K20</f>
        <v>4532050000.4700003</v>
      </c>
      <c r="N131" s="939">
        <f>N8+N17+N68</f>
        <v>261800000</v>
      </c>
      <c r="O131" s="939">
        <f>O8+O17+O68</f>
        <v>38400000</v>
      </c>
      <c r="P131" s="939">
        <f>P8+P14+P68</f>
        <v>441000000</v>
      </c>
      <c r="Q131" s="1669">
        <v>0</v>
      </c>
      <c r="R131" s="1669"/>
      <c r="S131" s="939">
        <f>S11+S20</f>
        <v>500000000</v>
      </c>
      <c r="T131" s="939">
        <f>T8</f>
        <v>18000000</v>
      </c>
      <c r="U131" s="940">
        <f>U8+U14</f>
        <v>0</v>
      </c>
    </row>
    <row r="132" spans="1:21">
      <c r="A132" s="60"/>
      <c r="B132" s="60"/>
      <c r="C132" s="934"/>
      <c r="D132" s="935"/>
      <c r="E132" s="936"/>
      <c r="F132" s="935"/>
      <c r="G132" s="1668" t="s">
        <v>714</v>
      </c>
      <c r="H132" s="1668"/>
      <c r="I132" s="937" t="s">
        <v>83</v>
      </c>
      <c r="J132" s="938"/>
      <c r="K132" s="939">
        <f>SUM(L132:U132)</f>
        <v>145924885.69999999</v>
      </c>
      <c r="L132" s="939">
        <v>0</v>
      </c>
      <c r="M132" s="939">
        <f>M24+M33+M63+M69+M72+M117+M60+M27+M30+M36+M39+M42+M45+M48+M51+M54+M57+M66+M75+M78+M81+M84+M87+M90+M93+M96+M99+M102+M105+M108+M111+M114+M126+M129+M15+M18+M21+M120+M123</f>
        <v>35641354.700000003</v>
      </c>
      <c r="N132" s="939">
        <f>N9+N18+N69</f>
        <v>69197857</v>
      </c>
      <c r="O132" s="939">
        <f>O9+O18+O69</f>
        <v>11457681</v>
      </c>
      <c r="P132" s="939">
        <f>P9+P15+P69</f>
        <v>10545664</v>
      </c>
      <c r="Q132" s="1669">
        <v>0</v>
      </c>
      <c r="R132" s="1669"/>
      <c r="S132" s="939">
        <f>S12+S21</f>
        <v>8971865</v>
      </c>
      <c r="T132" s="939">
        <f>T9</f>
        <v>10110464</v>
      </c>
      <c r="U132" s="940">
        <f>U9+U15</f>
        <v>0</v>
      </c>
    </row>
    <row r="133" spans="1:21">
      <c r="A133" s="60"/>
      <c r="B133" s="1670"/>
      <c r="C133" s="167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</row>
    <row r="135" spans="1:21">
      <c r="M135" s="61"/>
    </row>
  </sheetData>
  <mergeCells count="267">
    <mergeCell ref="K4:U4"/>
    <mergeCell ref="K5:K6"/>
    <mergeCell ref="Q5:R5"/>
    <mergeCell ref="Q6:R6"/>
    <mergeCell ref="G7:H7"/>
    <mergeCell ref="Q7:R7"/>
    <mergeCell ref="C2:U2"/>
    <mergeCell ref="C3:U3"/>
    <mergeCell ref="A4:B4"/>
    <mergeCell ref="C4:C6"/>
    <mergeCell ref="D4:D6"/>
    <mergeCell ref="E4:E6"/>
    <mergeCell ref="F4:F6"/>
    <mergeCell ref="G4:H6"/>
    <mergeCell ref="I4:I6"/>
    <mergeCell ref="J4:J6"/>
    <mergeCell ref="G11:H11"/>
    <mergeCell ref="Q11:R11"/>
    <mergeCell ref="G12:H12"/>
    <mergeCell ref="Q12:R12"/>
    <mergeCell ref="G13:H13"/>
    <mergeCell ref="Q13:R13"/>
    <mergeCell ref="G8:H8"/>
    <mergeCell ref="Q8:R8"/>
    <mergeCell ref="G9:H9"/>
    <mergeCell ref="Q9:R9"/>
    <mergeCell ref="G10:H10"/>
    <mergeCell ref="Q10:R10"/>
    <mergeCell ref="G17:H17"/>
    <mergeCell ref="Q17:R17"/>
    <mergeCell ref="G18:H18"/>
    <mergeCell ref="Q18:R18"/>
    <mergeCell ref="G19:H19"/>
    <mergeCell ref="Q19:R19"/>
    <mergeCell ref="G14:H14"/>
    <mergeCell ref="Q14:R14"/>
    <mergeCell ref="G15:H15"/>
    <mergeCell ref="Q15:R15"/>
    <mergeCell ref="G16:H16"/>
    <mergeCell ref="Q16:R16"/>
    <mergeCell ref="G23:H23"/>
    <mergeCell ref="Q23:R23"/>
    <mergeCell ref="G24:H24"/>
    <mergeCell ref="Q24:R24"/>
    <mergeCell ref="G25:H25"/>
    <mergeCell ref="Q25:R25"/>
    <mergeCell ref="G20:H20"/>
    <mergeCell ref="Q20:R20"/>
    <mergeCell ref="G21:H21"/>
    <mergeCell ref="Q21:R21"/>
    <mergeCell ref="G22:H22"/>
    <mergeCell ref="Q22:R22"/>
    <mergeCell ref="G29:H29"/>
    <mergeCell ref="Q29:R29"/>
    <mergeCell ref="G30:H30"/>
    <mergeCell ref="Q30:R30"/>
    <mergeCell ref="G31:H31"/>
    <mergeCell ref="Q31:R31"/>
    <mergeCell ref="G26:H26"/>
    <mergeCell ref="Q26:R26"/>
    <mergeCell ref="G27:H27"/>
    <mergeCell ref="Q27:R27"/>
    <mergeCell ref="G28:H28"/>
    <mergeCell ref="Q28:R28"/>
    <mergeCell ref="G35:H35"/>
    <mergeCell ref="Q35:R35"/>
    <mergeCell ref="G36:H36"/>
    <mergeCell ref="Q36:R36"/>
    <mergeCell ref="G37:H37"/>
    <mergeCell ref="Q37:R37"/>
    <mergeCell ref="G32:H32"/>
    <mergeCell ref="Q32:R32"/>
    <mergeCell ref="G33:H33"/>
    <mergeCell ref="Q33:R33"/>
    <mergeCell ref="G34:H34"/>
    <mergeCell ref="Q34:R34"/>
    <mergeCell ref="G41:H41"/>
    <mergeCell ref="Q41:R41"/>
    <mergeCell ref="G42:H42"/>
    <mergeCell ref="Q42:R42"/>
    <mergeCell ref="G43:H43"/>
    <mergeCell ref="Q43:R43"/>
    <mergeCell ref="G38:H38"/>
    <mergeCell ref="Q38:R38"/>
    <mergeCell ref="G39:H39"/>
    <mergeCell ref="Q39:R39"/>
    <mergeCell ref="G40:H40"/>
    <mergeCell ref="Q40:R40"/>
    <mergeCell ref="G47:H47"/>
    <mergeCell ref="Q47:R47"/>
    <mergeCell ref="G48:H48"/>
    <mergeCell ref="Q48:R48"/>
    <mergeCell ref="G49:H49"/>
    <mergeCell ref="Q49:R49"/>
    <mergeCell ref="G44:H44"/>
    <mergeCell ref="Q44:R44"/>
    <mergeCell ref="G45:H45"/>
    <mergeCell ref="Q45:R45"/>
    <mergeCell ref="G46:H46"/>
    <mergeCell ref="Q46:R46"/>
    <mergeCell ref="G53:H53"/>
    <mergeCell ref="Q53:R53"/>
    <mergeCell ref="G54:H54"/>
    <mergeCell ref="Q54:R54"/>
    <mergeCell ref="G55:H55"/>
    <mergeCell ref="Q55:R55"/>
    <mergeCell ref="G50:H50"/>
    <mergeCell ref="Q50:R50"/>
    <mergeCell ref="G51:H51"/>
    <mergeCell ref="Q51:R51"/>
    <mergeCell ref="G52:H52"/>
    <mergeCell ref="Q52:R52"/>
    <mergeCell ref="G59:H59"/>
    <mergeCell ref="Q59:R59"/>
    <mergeCell ref="G60:H60"/>
    <mergeCell ref="Q60:R60"/>
    <mergeCell ref="G61:H61"/>
    <mergeCell ref="Q61:R61"/>
    <mergeCell ref="G56:H56"/>
    <mergeCell ref="Q56:R56"/>
    <mergeCell ref="G57:H57"/>
    <mergeCell ref="Q57:R57"/>
    <mergeCell ref="G58:H58"/>
    <mergeCell ref="Q58:R58"/>
    <mergeCell ref="G65:H65"/>
    <mergeCell ref="Q65:R65"/>
    <mergeCell ref="G66:H66"/>
    <mergeCell ref="Q66:R66"/>
    <mergeCell ref="G67:H67"/>
    <mergeCell ref="Q67:R67"/>
    <mergeCell ref="G62:H62"/>
    <mergeCell ref="Q62:R62"/>
    <mergeCell ref="G63:H63"/>
    <mergeCell ref="Q63:R63"/>
    <mergeCell ref="G64:H64"/>
    <mergeCell ref="Q64:R64"/>
    <mergeCell ref="G71:H71"/>
    <mergeCell ref="Q71:R71"/>
    <mergeCell ref="G72:H72"/>
    <mergeCell ref="Q72:R72"/>
    <mergeCell ref="G73:H73"/>
    <mergeCell ref="Q73:R73"/>
    <mergeCell ref="G68:H68"/>
    <mergeCell ref="Q68:R68"/>
    <mergeCell ref="G69:H69"/>
    <mergeCell ref="Q69:R69"/>
    <mergeCell ref="G70:H70"/>
    <mergeCell ref="Q70:R70"/>
    <mergeCell ref="G77:H77"/>
    <mergeCell ref="Q77:R77"/>
    <mergeCell ref="G78:H78"/>
    <mergeCell ref="Q78:R78"/>
    <mergeCell ref="G79:H79"/>
    <mergeCell ref="Q79:R79"/>
    <mergeCell ref="G74:H74"/>
    <mergeCell ref="Q74:R74"/>
    <mergeCell ref="G75:H75"/>
    <mergeCell ref="Q75:R75"/>
    <mergeCell ref="G76:H76"/>
    <mergeCell ref="Q76:R76"/>
    <mergeCell ref="G83:H83"/>
    <mergeCell ref="Q83:R83"/>
    <mergeCell ref="G84:H84"/>
    <mergeCell ref="Q84:R84"/>
    <mergeCell ref="G85:H85"/>
    <mergeCell ref="Q85:R85"/>
    <mergeCell ref="G80:H80"/>
    <mergeCell ref="Q80:R80"/>
    <mergeCell ref="G81:H81"/>
    <mergeCell ref="Q81:R81"/>
    <mergeCell ref="G82:H82"/>
    <mergeCell ref="Q82:R82"/>
    <mergeCell ref="G89:H89"/>
    <mergeCell ref="Q89:R89"/>
    <mergeCell ref="G90:H90"/>
    <mergeCell ref="Q90:R90"/>
    <mergeCell ref="G91:H91"/>
    <mergeCell ref="Q91:R91"/>
    <mergeCell ref="G86:H86"/>
    <mergeCell ref="Q86:R86"/>
    <mergeCell ref="G87:H87"/>
    <mergeCell ref="Q87:R87"/>
    <mergeCell ref="G88:H88"/>
    <mergeCell ref="Q88:R88"/>
    <mergeCell ref="G95:H95"/>
    <mergeCell ref="Q95:R95"/>
    <mergeCell ref="G96:H96"/>
    <mergeCell ref="Q96:R96"/>
    <mergeCell ref="G97:H97"/>
    <mergeCell ref="Q97:R97"/>
    <mergeCell ref="G92:H92"/>
    <mergeCell ref="Q92:R92"/>
    <mergeCell ref="G93:H93"/>
    <mergeCell ref="Q93:R93"/>
    <mergeCell ref="G94:H94"/>
    <mergeCell ref="Q94:R94"/>
    <mergeCell ref="G101:H101"/>
    <mergeCell ref="Q101:R101"/>
    <mergeCell ref="G102:H102"/>
    <mergeCell ref="Q102:R102"/>
    <mergeCell ref="G103:H103"/>
    <mergeCell ref="Q103:R103"/>
    <mergeCell ref="G98:H98"/>
    <mergeCell ref="Q98:R98"/>
    <mergeCell ref="G99:H99"/>
    <mergeCell ref="Q99:R99"/>
    <mergeCell ref="G100:H100"/>
    <mergeCell ref="Q100:R100"/>
    <mergeCell ref="G107:H107"/>
    <mergeCell ref="Q107:R107"/>
    <mergeCell ref="G108:H108"/>
    <mergeCell ref="Q108:R108"/>
    <mergeCell ref="G109:H109"/>
    <mergeCell ref="Q109:R109"/>
    <mergeCell ref="G104:H104"/>
    <mergeCell ref="Q104:R104"/>
    <mergeCell ref="G105:H105"/>
    <mergeCell ref="Q105:R105"/>
    <mergeCell ref="G106:H106"/>
    <mergeCell ref="Q106:R106"/>
    <mergeCell ref="G113:H113"/>
    <mergeCell ref="Q113:R113"/>
    <mergeCell ref="G114:H114"/>
    <mergeCell ref="Q114:R114"/>
    <mergeCell ref="G115:H115"/>
    <mergeCell ref="Q115:R115"/>
    <mergeCell ref="G110:H110"/>
    <mergeCell ref="Q110:R110"/>
    <mergeCell ref="G111:H111"/>
    <mergeCell ref="Q111:R111"/>
    <mergeCell ref="G112:H112"/>
    <mergeCell ref="Q112:R112"/>
    <mergeCell ref="G119:H119"/>
    <mergeCell ref="Q119:R119"/>
    <mergeCell ref="G120:H120"/>
    <mergeCell ref="Q120:R120"/>
    <mergeCell ref="G121:H121"/>
    <mergeCell ref="Q121:R121"/>
    <mergeCell ref="G116:H116"/>
    <mergeCell ref="Q116:R116"/>
    <mergeCell ref="G117:H117"/>
    <mergeCell ref="Q117:R117"/>
    <mergeCell ref="G118:H118"/>
    <mergeCell ref="Q118:R118"/>
    <mergeCell ref="G125:H125"/>
    <mergeCell ref="Q125:R125"/>
    <mergeCell ref="G126:H126"/>
    <mergeCell ref="Q126:R126"/>
    <mergeCell ref="G127:H127"/>
    <mergeCell ref="Q127:R127"/>
    <mergeCell ref="G122:H122"/>
    <mergeCell ref="Q122:R122"/>
    <mergeCell ref="G123:H123"/>
    <mergeCell ref="Q123:R123"/>
    <mergeCell ref="G124:H124"/>
    <mergeCell ref="Q124:R124"/>
    <mergeCell ref="G131:H131"/>
    <mergeCell ref="Q131:R131"/>
    <mergeCell ref="G132:H132"/>
    <mergeCell ref="Q132:R132"/>
    <mergeCell ref="B133:C133"/>
    <mergeCell ref="G128:H128"/>
    <mergeCell ref="Q128:R128"/>
    <mergeCell ref="G129:H129"/>
    <mergeCell ref="Q129:R129"/>
    <mergeCell ref="G130:H130"/>
    <mergeCell ref="Q130:R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Sheet3</vt:lpstr>
      <vt:lpstr>Sheet2</vt:lpstr>
      <vt:lpstr>Aneksi nr.1</vt:lpstr>
      <vt:lpstr>Aneksi 1.2</vt:lpstr>
      <vt:lpstr>Aneksi nr.1.1</vt:lpstr>
      <vt:lpstr>Sheet4</vt:lpstr>
      <vt:lpstr>Aneksi 2.0 Planif</vt:lpstr>
      <vt:lpstr>Aneksi 2.0 Forcat e Luftimit</vt:lpstr>
      <vt:lpstr>123</vt:lpstr>
      <vt:lpstr>Aneksi 2.0 MBSHT.LUFTIMIT</vt:lpstr>
      <vt:lpstr>Aneksi 2.0 Mbësht .Shëndetësinë</vt:lpstr>
      <vt:lpstr>Aneksi 2.0 Arsimi Ushtarak</vt:lpstr>
      <vt:lpstr>Aneksi 2.0 Mbeshtet. Ushtaraket</vt:lpstr>
      <vt:lpstr>Aneksi 2.0 Emergjencat Civile</vt:lpstr>
      <vt:lpstr>Aneksi 2.1 Planif</vt:lpstr>
      <vt:lpstr>Aneksi 2.1 Forcat e Luftimit</vt:lpstr>
      <vt:lpstr>Aneksi 2.1 MBSHT.LUFTIMIT</vt:lpstr>
      <vt:lpstr>Aneksi 2.1 Mbësht .Shëndetësinë</vt:lpstr>
      <vt:lpstr>Aneksi 2.1 Arsimi Ushtarak</vt:lpstr>
      <vt:lpstr>Aneksi 2.1 Mbeshtet. Ushtaraket</vt:lpstr>
      <vt:lpstr>Aneksi 2.1 Emergjencat Civile</vt:lpstr>
      <vt:lpstr>Aneksi 3 Planif</vt:lpstr>
      <vt:lpstr>Aneksi 3 Forcat e Luftimit</vt:lpstr>
      <vt:lpstr>Aneksi 3 MBSHT.LUFTIMIT</vt:lpstr>
      <vt:lpstr>Aneksi 3  Mbësht .Shëndetësinë</vt:lpstr>
      <vt:lpstr>Aneksi 3 Arsimi Ushtarak</vt:lpstr>
      <vt:lpstr>Aneksi 3 Mbeshtet. Ushtaraket</vt:lpstr>
      <vt:lpstr>Aneksi 3 Emergjencat Civile</vt:lpstr>
      <vt:lpstr>Aneksi 3.1 Planif</vt:lpstr>
      <vt:lpstr>Aneksi 3.1 Forcat e Luftimit</vt:lpstr>
      <vt:lpstr>Aneksi 3.1MBSHT.LUFTIMIT</vt:lpstr>
      <vt:lpstr>Aneksi 3.1 Arsimi Ushtarak</vt:lpstr>
      <vt:lpstr>Aneksi 3.1 Mbësht.Shëndetësinë</vt:lpstr>
      <vt:lpstr>Aneksi 3.1Mbeshtet. Ushtaraket</vt:lpstr>
      <vt:lpstr>Aneksi 3.1 Emergjencat Civile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2023-09-20T08:17:28Z</dcterms:created>
  <dcterms:modified xsi:type="dcterms:W3CDTF">2026-10-06T13:52:52Z</dcterms:modified>
</cp:coreProperties>
</file>