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2210" tabRatio="853" firstSheet="2" activeTab="25"/>
  </bookViews>
  <sheets>
    <sheet name="Sheet3" sheetId="72" state="hidden" r:id="rId1"/>
    <sheet name="Sheet2" sheetId="71" state="hidden" r:id="rId2"/>
    <sheet name="Aneksi 1.2" sheetId="37" r:id="rId3"/>
    <sheet name="Aneksi nr.1" sheetId="35" r:id="rId4"/>
    <sheet name="Aneksi nr.1.1" sheetId="36" r:id="rId5"/>
    <sheet name="Sheet4" sheetId="73" state="hidden" r:id="rId6"/>
    <sheet name="Aneksi 2.0 Planif" sheetId="39" r:id="rId7"/>
    <sheet name="Aneksi 2.0 Forcat e Luftimit" sheetId="38" r:id="rId8"/>
    <sheet name="123" sheetId="7" state="hidden" r:id="rId9"/>
    <sheet name="Aneksi 2.0 MBSHT.LUFTIMIT" sheetId="74" r:id="rId10"/>
    <sheet name="Aneksi 2.0 Mbësht .Shëndetësinë" sheetId="41" r:id="rId11"/>
    <sheet name="Aneksi 2.0 Arsimi Ushtarak" sheetId="6" r:id="rId12"/>
    <sheet name="Aneksi 2.0 Mbeshtet. Ushtaraket" sheetId="5" r:id="rId13"/>
    <sheet name="Aneksi 2.0 Emergjencat Civile" sheetId="40" r:id="rId14"/>
    <sheet name="Aneksi 2.1 Planif" sheetId="10" r:id="rId15"/>
    <sheet name="Aneksi 2.1 Forcat e Luftimit" sheetId="13" r:id="rId16"/>
    <sheet name="Aneksi 2.1 MBSHT.LUFTIMIT" sheetId="14" r:id="rId17"/>
    <sheet name="Aneksi 2.1 Mbësht .Shëndetësinë" sheetId="11" r:id="rId18"/>
    <sheet name="Aneksi 2.1 Arsimi Ushtarak" sheetId="46" r:id="rId19"/>
    <sheet name="Aneksi 2.1 Mbeshtet. Ushtaraket" sheetId="12" r:id="rId20"/>
    <sheet name="Aneksi 2.1 Emergjencat Civile" sheetId="43" r:id="rId21"/>
    <sheet name="Aneksi 3 Planif" sheetId="16" r:id="rId22"/>
    <sheet name="Aneksi 3 Forcat e Luftimit" sheetId="15" r:id="rId23"/>
    <sheet name="Aneksi 3 MBSHT.LUFTIMIT" sheetId="19" r:id="rId24"/>
    <sheet name="Aneksi 3 Mbeshtet. Shendetesine" sheetId="17" r:id="rId25"/>
    <sheet name="Aneksi 3 Arsimimi Ushtarak" sheetId="18" r:id="rId26"/>
  </sheets>
  <externalReferences>
    <externalReference r:id="rId27"/>
    <externalReference r:id="rId28"/>
    <externalReference r:id="rId29"/>
    <externalReference r:id="rId30"/>
  </externalReferences>
  <definedNames>
    <definedName name="JR_PAGE_ANCHOR_0_1">#REF!</definedName>
    <definedName name="_xlnm.Print_Titles" localSheetId="22">'Aneksi 3 Forcat e Luftimit'!#REF!</definedName>
  </definedNames>
  <calcPr calcId="162913"/>
</workbook>
</file>

<file path=xl/calcChain.xml><?xml version="1.0" encoding="utf-8"?>
<calcChain xmlns="http://schemas.openxmlformats.org/spreadsheetml/2006/main">
  <c r="M97" i="38" l="1"/>
  <c r="L24" i="16"/>
  <c r="L23" i="16"/>
  <c r="I44" i="36" l="1"/>
  <c r="Q26" i="36" l="1"/>
  <c r="O14" i="17" l="1"/>
  <c r="L14" i="17"/>
  <c r="I14" i="17"/>
  <c r="I86" i="19"/>
  <c r="L86" i="19"/>
  <c r="J24" i="16"/>
  <c r="K24" i="16"/>
  <c r="M24" i="16"/>
  <c r="N24" i="16"/>
  <c r="P24" i="16"/>
  <c r="Q24" i="16"/>
  <c r="R24" i="16"/>
  <c r="S24" i="16"/>
  <c r="O21" i="16"/>
  <c r="N21" i="16"/>
  <c r="L21" i="16"/>
  <c r="K21" i="16"/>
  <c r="I21" i="16"/>
  <c r="J21" i="16" s="1"/>
  <c r="H21" i="16"/>
  <c r="F21" i="16"/>
  <c r="G21" i="16" s="1"/>
  <c r="O20" i="16"/>
  <c r="N20" i="16"/>
  <c r="L20" i="16"/>
  <c r="K20" i="16"/>
  <c r="I20" i="16"/>
  <c r="H20" i="16"/>
  <c r="F20" i="16"/>
  <c r="G20" i="16" s="1"/>
  <c r="O19" i="16"/>
  <c r="N19" i="16"/>
  <c r="L19" i="16"/>
  <c r="K19" i="16"/>
  <c r="I19" i="16"/>
  <c r="H19" i="16"/>
  <c r="F19" i="16"/>
  <c r="G19" i="16" s="1"/>
  <c r="O18" i="16"/>
  <c r="N18" i="16"/>
  <c r="L18" i="16"/>
  <c r="K18" i="16"/>
  <c r="I18" i="16"/>
  <c r="H18" i="16"/>
  <c r="F18" i="16"/>
  <c r="G18" i="16" s="1"/>
  <c r="O17" i="16"/>
  <c r="N17" i="16"/>
  <c r="L17" i="16"/>
  <c r="M17" i="16" s="1"/>
  <c r="K17" i="16"/>
  <c r="I17" i="16"/>
  <c r="H17" i="16"/>
  <c r="F17" i="16"/>
  <c r="G17" i="16" s="1"/>
  <c r="O16" i="16"/>
  <c r="N16" i="16"/>
  <c r="L16" i="16"/>
  <c r="K16" i="16"/>
  <c r="M16" i="16" s="1"/>
  <c r="I16" i="16"/>
  <c r="H16" i="16"/>
  <c r="F16" i="16"/>
  <c r="O15" i="16"/>
  <c r="P15" i="16" s="1"/>
  <c r="N15" i="16"/>
  <c r="L15" i="16"/>
  <c r="K15" i="16"/>
  <c r="I15" i="16"/>
  <c r="J15" i="16" s="1"/>
  <c r="H15" i="16"/>
  <c r="F15" i="16"/>
  <c r="G15" i="16" s="1"/>
  <c r="O14" i="16"/>
  <c r="N14" i="16"/>
  <c r="L14" i="16"/>
  <c r="K14" i="16"/>
  <c r="I14" i="16"/>
  <c r="H14" i="16"/>
  <c r="F14" i="16"/>
  <c r="G14" i="16" s="1"/>
  <c r="O12" i="16"/>
  <c r="L12" i="16"/>
  <c r="I12" i="16"/>
  <c r="F12" i="16"/>
  <c r="P11" i="16"/>
  <c r="M11" i="16"/>
  <c r="J11" i="16"/>
  <c r="G11" i="16"/>
  <c r="M20" i="16" l="1"/>
  <c r="J16" i="16"/>
  <c r="J14" i="16"/>
  <c r="J18" i="16"/>
  <c r="P19" i="16"/>
  <c r="S19" i="16" s="1"/>
  <c r="P18" i="16"/>
  <c r="J20" i="16"/>
  <c r="Q11" i="16"/>
  <c r="M19" i="16"/>
  <c r="M21" i="16"/>
  <c r="M18" i="16"/>
  <c r="P17" i="16"/>
  <c r="J17" i="16"/>
  <c r="P14" i="16"/>
  <c r="Q14" i="16" s="1"/>
  <c r="P16" i="16"/>
  <c r="R16" i="16" s="1"/>
  <c r="F23" i="16"/>
  <c r="S11" i="16"/>
  <c r="Q15" i="16"/>
  <c r="I23" i="16"/>
  <c r="I24" i="16" s="1"/>
  <c r="M15" i="16"/>
  <c r="P20" i="16"/>
  <c r="Q20" i="16" s="1"/>
  <c r="P21" i="16"/>
  <c r="R21" i="16" s="1"/>
  <c r="J19" i="16"/>
  <c r="S15" i="16"/>
  <c r="Q18" i="16"/>
  <c r="R18" i="16"/>
  <c r="O23" i="16"/>
  <c r="O24" i="16" s="1"/>
  <c r="M14" i="16"/>
  <c r="S17" i="16"/>
  <c r="G16" i="16"/>
  <c r="R11" i="16"/>
  <c r="R15" i="16"/>
  <c r="Q19" i="16"/>
  <c r="Q16" i="16" l="1"/>
  <c r="R14" i="16"/>
  <c r="S18" i="16"/>
  <c r="R20" i="16"/>
  <c r="S20" i="16"/>
  <c r="S16" i="16"/>
  <c r="S14" i="16"/>
  <c r="R19" i="16"/>
  <c r="S21" i="16"/>
  <c r="R17" i="16"/>
  <c r="Q21" i="16"/>
  <c r="Q17" i="16"/>
  <c r="R21" i="43" l="1"/>
  <c r="Q21" i="43"/>
  <c r="P21" i="43"/>
  <c r="O21" i="43"/>
  <c r="N21" i="43"/>
  <c r="M21" i="43"/>
  <c r="L21" i="43"/>
  <c r="S21" i="43"/>
  <c r="K20" i="43"/>
  <c r="R19" i="43"/>
  <c r="S19" i="43"/>
  <c r="L16" i="46"/>
  <c r="T18" i="11"/>
  <c r="J16" i="14"/>
  <c r="K38" i="36"/>
  <c r="J38" i="36"/>
  <c r="I38" i="36"/>
  <c r="L37" i="36"/>
  <c r="L36" i="36"/>
  <c r="L35" i="36"/>
  <c r="L34" i="36"/>
  <c r="L33" i="36"/>
  <c r="L32" i="36"/>
  <c r="L38" i="36" l="1"/>
  <c r="F20" i="72"/>
  <c r="E20" i="72"/>
  <c r="D20" i="72"/>
  <c r="D16" i="72"/>
  <c r="O40" i="35" l="1"/>
  <c r="L19" i="35"/>
  <c r="K12" i="35" l="1"/>
  <c r="Q33" i="37" l="1"/>
  <c r="Q32" i="37"/>
  <c r="Q34" i="37" l="1"/>
  <c r="N55" i="39"/>
  <c r="N54" i="39"/>
  <c r="N53" i="39"/>
  <c r="N52" i="39"/>
  <c r="N51" i="39"/>
  <c r="K49" i="39"/>
  <c r="L44" i="39" s="1"/>
  <c r="E49" i="39"/>
  <c r="D49" i="39"/>
  <c r="N48" i="39"/>
  <c r="N47" i="39"/>
  <c r="N46" i="39"/>
  <c r="M46" i="39"/>
  <c r="J46" i="39"/>
  <c r="N45" i="39"/>
  <c r="M45" i="39"/>
  <c r="J45" i="39"/>
  <c r="N44" i="39"/>
  <c r="M44" i="39"/>
  <c r="J44" i="39"/>
  <c r="N43" i="39"/>
  <c r="M43" i="39"/>
  <c r="J43" i="39"/>
  <c r="N42" i="39"/>
  <c r="M42" i="39"/>
  <c r="M39" i="39" s="1"/>
  <c r="M49" i="39" s="1"/>
  <c r="J42" i="39"/>
  <c r="N41" i="39"/>
  <c r="M41" i="39"/>
  <c r="J41" i="39"/>
  <c r="D41" i="39"/>
  <c r="E41" i="39" s="1"/>
  <c r="K39" i="39"/>
  <c r="H39" i="39"/>
  <c r="H49" i="39" s="1"/>
  <c r="I42" i="39" s="1"/>
  <c r="F39" i="39"/>
  <c r="F49" i="39" s="1"/>
  <c r="G47" i="39" s="1"/>
  <c r="H38" i="39"/>
  <c r="K36" i="39"/>
  <c r="K28" i="39"/>
  <c r="H28" i="39"/>
  <c r="M27" i="39"/>
  <c r="J27" i="39"/>
  <c r="J28" i="39" s="1"/>
  <c r="M26" i="39"/>
  <c r="M28" i="39" s="1"/>
  <c r="L26" i="39"/>
  <c r="K25" i="39"/>
  <c r="L25" i="39" s="1"/>
  <c r="H25" i="39"/>
  <c r="M25" i="39" s="1"/>
  <c r="M29" i="39" s="1"/>
  <c r="F25" i="39"/>
  <c r="G24" i="39" s="1"/>
  <c r="D25" i="39"/>
  <c r="E23" i="39" s="1"/>
  <c r="M24" i="39"/>
  <c r="J24" i="39"/>
  <c r="J25" i="39" s="1"/>
  <c r="M23" i="39"/>
  <c r="L23" i="39"/>
  <c r="K22" i="39"/>
  <c r="K30" i="39" s="1"/>
  <c r="L27" i="39" s="1"/>
  <c r="H22" i="39"/>
  <c r="I19" i="39" s="1"/>
  <c r="F22" i="39"/>
  <c r="G16" i="39" s="1"/>
  <c r="D22" i="39"/>
  <c r="N21" i="39"/>
  <c r="M21" i="39"/>
  <c r="J21" i="39"/>
  <c r="I21" i="39"/>
  <c r="E21" i="39"/>
  <c r="N20" i="39"/>
  <c r="M20" i="39"/>
  <c r="J20" i="39"/>
  <c r="I20" i="39"/>
  <c r="E20" i="39"/>
  <c r="M19" i="39"/>
  <c r="M22" i="39" s="1"/>
  <c r="J19" i="39"/>
  <c r="M18" i="39"/>
  <c r="J18" i="39"/>
  <c r="I18" i="39"/>
  <c r="N17" i="39"/>
  <c r="M17" i="39"/>
  <c r="J17" i="39"/>
  <c r="I17" i="39"/>
  <c r="G17" i="39"/>
  <c r="N16" i="39"/>
  <c r="M16" i="39"/>
  <c r="J16" i="39"/>
  <c r="I16" i="39"/>
  <c r="E16" i="39"/>
  <c r="N15" i="39"/>
  <c r="M15" i="39"/>
  <c r="J15" i="39"/>
  <c r="I15" i="39"/>
  <c r="G15" i="39"/>
  <c r="E15" i="39"/>
  <c r="L17" i="39" l="1"/>
  <c r="L19" i="39"/>
  <c r="L24" i="39"/>
  <c r="N25" i="39"/>
  <c r="N29" i="39" s="1"/>
  <c r="G46" i="39"/>
  <c r="L16" i="39"/>
  <c r="N22" i="39"/>
  <c r="G42" i="39"/>
  <c r="J39" i="39"/>
  <c r="J49" i="39" s="1"/>
  <c r="L15" i="39"/>
  <c r="L18" i="39"/>
  <c r="L20" i="39"/>
  <c r="L21" i="39"/>
  <c r="I24" i="39"/>
  <c r="J22" i="39"/>
  <c r="J38" i="39" s="1"/>
  <c r="J36" i="39" s="1"/>
  <c r="M38" i="39"/>
  <c r="M36" i="39" s="1"/>
  <c r="M30" i="39"/>
  <c r="N38" i="39"/>
  <c r="H36" i="39"/>
  <c r="N36" i="39" s="1"/>
  <c r="I43" i="39"/>
  <c r="I47" i="39"/>
  <c r="F30" i="39"/>
  <c r="E17" i="39"/>
  <c r="D38" i="39"/>
  <c r="D36" i="39" s="1"/>
  <c r="E18" i="39"/>
  <c r="E19" i="39"/>
  <c r="N24" i="39"/>
  <c r="G43" i="39"/>
  <c r="G48" i="39"/>
  <c r="G44" i="39"/>
  <c r="G45" i="39"/>
  <c r="G41" i="39"/>
  <c r="G18" i="39"/>
  <c r="G19" i="39"/>
  <c r="G20" i="39"/>
  <c r="E24" i="39"/>
  <c r="G23" i="39"/>
  <c r="F29" i="39"/>
  <c r="G26" i="39" s="1"/>
  <c r="D29" i="39"/>
  <c r="E26" i="39" s="1"/>
  <c r="E47" i="39"/>
  <c r="E48" i="39"/>
  <c r="N39" i="39"/>
  <c r="N49" i="39" s="1"/>
  <c r="L48" i="39"/>
  <c r="L45" i="39"/>
  <c r="L41" i="39"/>
  <c r="L46" i="39"/>
  <c r="L42" i="39"/>
  <c r="L47" i="39"/>
  <c r="L43" i="39"/>
  <c r="K56" i="39"/>
  <c r="G21" i="39"/>
  <c r="E25" i="39"/>
  <c r="I48" i="39"/>
  <c r="I44" i="39"/>
  <c r="I45" i="39"/>
  <c r="I41" i="39"/>
  <c r="I46" i="39"/>
  <c r="D30" i="39"/>
  <c r="L22" i="39"/>
  <c r="F38" i="39"/>
  <c r="F36" i="39" s="1"/>
  <c r="H29" i="39"/>
  <c r="H30" i="39" s="1"/>
  <c r="I23" i="39"/>
  <c r="I22" i="39" l="1"/>
  <c r="I25" i="39"/>
  <c r="F56" i="39"/>
  <c r="G27" i="39"/>
  <c r="I30" i="39"/>
  <c r="I56" i="39" s="1"/>
  <c r="I38" i="39"/>
  <c r="I36" i="39" s="1"/>
  <c r="I39" i="39"/>
  <c r="I49" i="39" s="1"/>
  <c r="G22" i="39"/>
  <c r="L38" i="39"/>
  <c r="L36" i="39" s="1"/>
  <c r="L30" i="39"/>
  <c r="L56" i="39" s="1"/>
  <c r="J30" i="39"/>
  <c r="J56" i="39" s="1"/>
  <c r="H56" i="39"/>
  <c r="I27" i="39"/>
  <c r="N30" i="39"/>
  <c r="N56" i="39" s="1"/>
  <c r="E22" i="39"/>
  <c r="D56" i="39"/>
  <c r="E27" i="39"/>
  <c r="J29" i="39"/>
  <c r="I26" i="39"/>
  <c r="M56" i="39"/>
  <c r="N23" i="39"/>
  <c r="L39" i="39"/>
  <c r="L49" i="39" s="1"/>
  <c r="G25" i="39"/>
  <c r="G39" i="39"/>
  <c r="G49" i="39" s="1"/>
  <c r="G30" i="39" l="1"/>
  <c r="G56" i="39" s="1"/>
  <c r="G38" i="39"/>
  <c r="G36" i="39" s="1"/>
  <c r="E38" i="39"/>
  <c r="E36" i="39" s="1"/>
  <c r="E30" i="39"/>
  <c r="E56" i="39" s="1"/>
  <c r="O15" i="46" l="1"/>
  <c r="N15" i="46"/>
  <c r="M15" i="46"/>
  <c r="L15" i="46"/>
  <c r="U15" i="46" s="1"/>
  <c r="S14" i="46"/>
  <c r="O14" i="46"/>
  <c r="O17" i="46" s="1"/>
  <c r="N14" i="46"/>
  <c r="M14" i="46"/>
  <c r="M17" i="46" s="1"/>
  <c r="L14" i="46"/>
  <c r="S13" i="46"/>
  <c r="O13" i="46"/>
  <c r="O16" i="46" s="1"/>
  <c r="N13" i="46"/>
  <c r="M13" i="46"/>
  <c r="M16" i="46" s="1"/>
  <c r="L13" i="46"/>
  <c r="S12" i="46"/>
  <c r="O12" i="46"/>
  <c r="N12" i="46"/>
  <c r="M12" i="46"/>
  <c r="U12" i="46" s="1"/>
  <c r="U10" i="46"/>
  <c r="U9" i="46"/>
  <c r="U8" i="46"/>
  <c r="U14" i="46" l="1"/>
  <c r="S17" i="46"/>
  <c r="N16" i="46"/>
  <c r="U13" i="46"/>
  <c r="U17" i="46" s="1"/>
  <c r="S16" i="46"/>
  <c r="U16" i="46" s="1"/>
  <c r="L17" i="46"/>
  <c r="N17" i="46"/>
  <c r="K37" i="35" l="1"/>
  <c r="N12" i="35"/>
  <c r="N15" i="40" l="1"/>
  <c r="N16" i="40" l="1"/>
  <c r="N17" i="40"/>
  <c r="N18" i="40"/>
  <c r="N19" i="40"/>
  <c r="N20" i="40"/>
  <c r="N21" i="40"/>
  <c r="N23" i="40"/>
  <c r="N24" i="40"/>
  <c r="N26" i="40"/>
  <c r="N27" i="40"/>
  <c r="N31" i="40"/>
  <c r="N32" i="40"/>
  <c r="M15" i="40" l="1"/>
  <c r="L19" i="10"/>
  <c r="K19" i="10"/>
  <c r="L17" i="11"/>
  <c r="L16" i="11"/>
  <c r="S17" i="13"/>
  <c r="S20" i="13" s="1"/>
  <c r="S18" i="13"/>
  <c r="S16" i="13"/>
  <c r="O17" i="13"/>
  <c r="O20" i="13" s="1"/>
  <c r="O18" i="13"/>
  <c r="O21" i="13" s="1"/>
  <c r="O16" i="13"/>
  <c r="N17" i="13"/>
  <c r="N20" i="13" s="1"/>
  <c r="N18" i="13"/>
  <c r="N21" i="13" s="1"/>
  <c r="N16" i="13"/>
  <c r="M17" i="13"/>
  <c r="M20" i="13" s="1"/>
  <c r="M18" i="13"/>
  <c r="M21" i="13" s="1"/>
  <c r="M16" i="13"/>
  <c r="L17" i="13"/>
  <c r="L18" i="13"/>
  <c r="L21" i="13" s="1"/>
  <c r="L8" i="13"/>
  <c r="U8" i="13" s="1"/>
  <c r="X8" i="13" s="1"/>
  <c r="T20" i="13"/>
  <c r="H100" i="38"/>
  <c r="F100" i="38"/>
  <c r="J97" i="38"/>
  <c r="G101" i="38"/>
  <c r="I100" i="38"/>
  <c r="I101" i="38" s="1"/>
  <c r="N105" i="38"/>
  <c r="L100" i="38"/>
  <c r="L101" i="38"/>
  <c r="L105" i="38"/>
  <c r="K100" i="38"/>
  <c r="M15" i="38"/>
  <c r="M16" i="10"/>
  <c r="N16" i="10"/>
  <c r="O16" i="10"/>
  <c r="P16" i="10"/>
  <c r="Q16" i="10"/>
  <c r="R16" i="10"/>
  <c r="S16" i="10"/>
  <c r="L16" i="10"/>
  <c r="L17" i="10"/>
  <c r="L20" i="10" s="1"/>
  <c r="L18" i="10"/>
  <c r="L21" i="10" s="1"/>
  <c r="M17" i="10"/>
  <c r="M20" i="10" s="1"/>
  <c r="N17" i="10"/>
  <c r="N20" i="10" s="1"/>
  <c r="O17" i="10"/>
  <c r="R17" i="10"/>
  <c r="R20" i="10" s="1"/>
  <c r="S17" i="10"/>
  <c r="S20" i="10" s="1"/>
  <c r="M18" i="10"/>
  <c r="N18" i="10"/>
  <c r="O18" i="10"/>
  <c r="R18" i="10"/>
  <c r="S18" i="10"/>
  <c r="P11" i="19"/>
  <c r="R11" i="19"/>
  <c r="Q11" i="19"/>
  <c r="K10" i="14"/>
  <c r="T10" i="14" s="1"/>
  <c r="G137" i="74"/>
  <c r="E137" i="74"/>
  <c r="E139" i="74"/>
  <c r="M57" i="74"/>
  <c r="K41" i="74"/>
  <c r="F41" i="74"/>
  <c r="F133" i="74"/>
  <c r="F132" i="74"/>
  <c r="F131" i="74"/>
  <c r="F130" i="74"/>
  <c r="F129" i="74"/>
  <c r="F128" i="74"/>
  <c r="F127" i="74"/>
  <c r="F126" i="74"/>
  <c r="F125" i="74"/>
  <c r="F124" i="74"/>
  <c r="F123" i="74"/>
  <c r="F122" i="74"/>
  <c r="F121" i="74"/>
  <c r="F120" i="74"/>
  <c r="F119" i="74"/>
  <c r="F118" i="74"/>
  <c r="F117" i="74"/>
  <c r="F116" i="74"/>
  <c r="F115" i="74"/>
  <c r="F114" i="74"/>
  <c r="F113" i="74"/>
  <c r="F112" i="74"/>
  <c r="F111" i="74"/>
  <c r="F110" i="74"/>
  <c r="F109" i="74"/>
  <c r="F108" i="74"/>
  <c r="F107" i="74"/>
  <c r="F106" i="74"/>
  <c r="F105" i="74"/>
  <c r="F104" i="74"/>
  <c r="F103" i="74"/>
  <c r="F102" i="74"/>
  <c r="F101" i="74"/>
  <c r="F100" i="74"/>
  <c r="F99" i="74"/>
  <c r="F98" i="74"/>
  <c r="F97" i="74"/>
  <c r="F96" i="74"/>
  <c r="F95" i="74"/>
  <c r="F94" i="74"/>
  <c r="F93" i="74"/>
  <c r="F92" i="74"/>
  <c r="F91" i="74"/>
  <c r="F90" i="74"/>
  <c r="F89" i="74"/>
  <c r="F88" i="74"/>
  <c r="F87" i="74"/>
  <c r="F86" i="74"/>
  <c r="F85" i="74"/>
  <c r="F84" i="74"/>
  <c r="F83" i="74"/>
  <c r="F82" i="74"/>
  <c r="F81" i="74"/>
  <c r="F80" i="74"/>
  <c r="F79" i="74"/>
  <c r="F78" i="74"/>
  <c r="F77" i="74"/>
  <c r="F76" i="74"/>
  <c r="F75" i="74"/>
  <c r="F74" i="74"/>
  <c r="F73" i="74"/>
  <c r="F72" i="74"/>
  <c r="F71" i="74"/>
  <c r="F70" i="74"/>
  <c r="F69" i="74"/>
  <c r="F68" i="74"/>
  <c r="F67" i="74"/>
  <c r="F66" i="74"/>
  <c r="F65" i="74"/>
  <c r="F64" i="74"/>
  <c r="F63" i="74"/>
  <c r="F62" i="74"/>
  <c r="F61" i="74"/>
  <c r="F60" i="74"/>
  <c r="F59" i="74"/>
  <c r="F58" i="74"/>
  <c r="F57" i="74"/>
  <c r="F56" i="74" s="1"/>
  <c r="D50" i="74"/>
  <c r="L16" i="13" l="1"/>
  <c r="L20" i="13" s="1"/>
  <c r="O20" i="10"/>
  <c r="Q20" i="10"/>
  <c r="P20" i="10"/>
  <c r="U17" i="13"/>
  <c r="P12" i="19"/>
  <c r="Q12" i="19"/>
  <c r="R12" i="19"/>
  <c r="P13" i="19"/>
  <c r="Q13" i="19"/>
  <c r="R13" i="19"/>
  <c r="P14" i="19"/>
  <c r="Q14" i="19"/>
  <c r="R14" i="19"/>
  <c r="P15" i="19"/>
  <c r="Q15" i="19"/>
  <c r="R15" i="19"/>
  <c r="P16" i="19"/>
  <c r="Q16" i="19"/>
  <c r="R16" i="19"/>
  <c r="P17" i="19"/>
  <c r="Q17" i="19"/>
  <c r="R17" i="19"/>
  <c r="P18" i="19"/>
  <c r="Q18" i="19"/>
  <c r="R18" i="19"/>
  <c r="P19" i="19"/>
  <c r="Q19" i="19"/>
  <c r="R19" i="19"/>
  <c r="P20" i="19"/>
  <c r="Q20" i="19"/>
  <c r="R20" i="19"/>
  <c r="P21" i="19"/>
  <c r="Q21" i="19"/>
  <c r="R21" i="19"/>
  <c r="P22" i="19"/>
  <c r="Q22" i="19"/>
  <c r="R22" i="19"/>
  <c r="P23" i="19"/>
  <c r="Q23" i="19"/>
  <c r="R23" i="19"/>
  <c r="P24" i="19"/>
  <c r="Q24" i="19"/>
  <c r="R24" i="19"/>
  <c r="P25" i="19"/>
  <c r="Q25" i="19"/>
  <c r="R25" i="19"/>
  <c r="P27" i="19"/>
  <c r="R27" i="19"/>
  <c r="P28" i="19"/>
  <c r="Q28" i="19"/>
  <c r="R28" i="19"/>
  <c r="P29" i="19"/>
  <c r="P30" i="19"/>
  <c r="P31" i="19"/>
  <c r="P32" i="19"/>
  <c r="P33" i="19"/>
  <c r="Q33" i="19"/>
  <c r="R33" i="19"/>
  <c r="P34" i="19"/>
  <c r="P35" i="19"/>
  <c r="P36" i="19"/>
  <c r="P37" i="19"/>
  <c r="Q37" i="19"/>
  <c r="R37" i="19"/>
  <c r="P38" i="19"/>
  <c r="P39" i="19"/>
  <c r="Q39" i="19"/>
  <c r="R39" i="19"/>
  <c r="P40" i="19"/>
  <c r="Q40" i="19"/>
  <c r="R40" i="19"/>
  <c r="P41" i="19"/>
  <c r="Q41" i="19"/>
  <c r="R41" i="19"/>
  <c r="P42" i="19"/>
  <c r="Q42" i="19"/>
  <c r="R42" i="19"/>
  <c r="P43" i="19"/>
  <c r="Q43" i="19"/>
  <c r="R43" i="19"/>
  <c r="P44" i="19"/>
  <c r="Q44" i="19"/>
  <c r="R44" i="19"/>
  <c r="P45" i="19"/>
  <c r="Q45" i="19"/>
  <c r="R45" i="19"/>
  <c r="P46" i="19"/>
  <c r="Q46" i="19"/>
  <c r="R46" i="19"/>
  <c r="P47" i="19"/>
  <c r="Q47" i="19"/>
  <c r="R47" i="19"/>
  <c r="P48" i="19"/>
  <c r="Q48" i="19"/>
  <c r="R48" i="19"/>
  <c r="P49" i="19"/>
  <c r="Q49" i="19"/>
  <c r="R49" i="19"/>
  <c r="P50" i="19"/>
  <c r="Q50" i="19"/>
  <c r="R50" i="19"/>
  <c r="P51" i="19"/>
  <c r="Q51" i="19"/>
  <c r="R51" i="19"/>
  <c r="P55" i="19"/>
  <c r="Q55" i="19"/>
  <c r="R55" i="19"/>
  <c r="P58" i="19"/>
  <c r="Q58" i="19"/>
  <c r="R58" i="19"/>
  <c r="P62" i="19"/>
  <c r="Q62" i="19"/>
  <c r="R62" i="19"/>
  <c r="P63" i="19"/>
  <c r="Q63" i="19"/>
  <c r="R63" i="19"/>
  <c r="P66" i="19"/>
  <c r="Q66" i="19"/>
  <c r="R66" i="19"/>
  <c r="P73" i="19"/>
  <c r="Q73" i="19"/>
  <c r="R73" i="19"/>
  <c r="P75" i="19"/>
  <c r="Q75" i="19"/>
  <c r="R75" i="19"/>
  <c r="P77" i="19"/>
  <c r="Q77" i="19"/>
  <c r="R77" i="19"/>
  <c r="R16" i="14"/>
  <c r="N16" i="14"/>
  <c r="M16" i="14"/>
  <c r="L16" i="14"/>
  <c r="T13" i="14"/>
  <c r="T12" i="14"/>
  <c r="K16" i="14"/>
  <c r="T9" i="14"/>
  <c r="T8" i="14"/>
  <c r="T16" i="14" l="1"/>
  <c r="T14" i="14" l="1"/>
  <c r="T17" i="14" l="1"/>
  <c r="M45" i="74"/>
  <c r="M46" i="74"/>
  <c r="M47" i="74"/>
  <c r="M48" i="74"/>
  <c r="M49" i="74"/>
  <c r="M50" i="74"/>
  <c r="M51" i="74"/>
  <c r="M52" i="74"/>
  <c r="M53" i="74"/>
  <c r="M54" i="74"/>
  <c r="M59" i="74"/>
  <c r="M60" i="74"/>
  <c r="M63" i="74"/>
  <c r="M64" i="74"/>
  <c r="M65" i="74"/>
  <c r="M67" i="74"/>
  <c r="M68" i="74"/>
  <c r="M69" i="74"/>
  <c r="M70" i="74"/>
  <c r="M72" i="74"/>
  <c r="M73" i="74"/>
  <c r="M76" i="74"/>
  <c r="M77" i="74"/>
  <c r="M78" i="74"/>
  <c r="M79" i="74"/>
  <c r="M80" i="74"/>
  <c r="M81" i="74"/>
  <c r="M86" i="74"/>
  <c r="M88" i="74"/>
  <c r="M89" i="74"/>
  <c r="M91" i="74"/>
  <c r="M92" i="74"/>
  <c r="M94" i="74"/>
  <c r="M95" i="74"/>
  <c r="M97" i="74"/>
  <c r="M100" i="74"/>
  <c r="M101" i="74"/>
  <c r="M103" i="74"/>
  <c r="M104" i="74"/>
  <c r="M105" i="74"/>
  <c r="M106" i="74"/>
  <c r="M107" i="74"/>
  <c r="M108" i="74"/>
  <c r="M109" i="74"/>
  <c r="M110" i="74"/>
  <c r="M111" i="74"/>
  <c r="M112" i="74"/>
  <c r="M113" i="74"/>
  <c r="M115" i="74"/>
  <c r="M116" i="74"/>
  <c r="M120" i="74"/>
  <c r="M121" i="74"/>
  <c r="M122" i="74"/>
  <c r="M125" i="74"/>
  <c r="M128" i="74"/>
  <c r="M129" i="74"/>
  <c r="M130" i="74"/>
  <c r="M131" i="74"/>
  <c r="M132" i="74"/>
  <c r="M133" i="74"/>
  <c r="M135" i="74"/>
  <c r="M136" i="74"/>
  <c r="M137" i="74"/>
  <c r="M138" i="74"/>
  <c r="M140" i="74"/>
  <c r="M141" i="74"/>
  <c r="M142" i="74"/>
  <c r="J134" i="74"/>
  <c r="D40" i="74"/>
  <c r="D41" i="74" s="1"/>
  <c r="D133" i="74"/>
  <c r="D132" i="74"/>
  <c r="D131" i="74"/>
  <c r="D130" i="74"/>
  <c r="D129" i="74"/>
  <c r="D128" i="74"/>
  <c r="D127" i="74"/>
  <c r="D126" i="74"/>
  <c r="D125" i="74"/>
  <c r="D124" i="74"/>
  <c r="D123" i="74"/>
  <c r="D122" i="74"/>
  <c r="D121" i="74"/>
  <c r="D120" i="74"/>
  <c r="D119" i="74"/>
  <c r="D118" i="74"/>
  <c r="D117" i="74"/>
  <c r="D116" i="74"/>
  <c r="D115" i="74"/>
  <c r="D114" i="74"/>
  <c r="D113" i="74"/>
  <c r="D112" i="74"/>
  <c r="D111" i="74"/>
  <c r="D110" i="74"/>
  <c r="D109" i="74"/>
  <c r="D108" i="74"/>
  <c r="D107" i="74"/>
  <c r="D105" i="74"/>
  <c r="D106" i="74"/>
  <c r="D57" i="74"/>
  <c r="D104" i="74"/>
  <c r="D103" i="74"/>
  <c r="D102" i="74"/>
  <c r="D101" i="74"/>
  <c r="D100" i="74"/>
  <c r="D99" i="74"/>
  <c r="D98" i="74"/>
  <c r="D97" i="74"/>
  <c r="D96" i="74"/>
  <c r="D95" i="74"/>
  <c r="D94" i="74"/>
  <c r="D93" i="74"/>
  <c r="D92" i="74"/>
  <c r="D91" i="74"/>
  <c r="D90" i="74"/>
  <c r="D89" i="74"/>
  <c r="D88" i="74"/>
  <c r="D87" i="74"/>
  <c r="D86" i="74"/>
  <c r="D85" i="74"/>
  <c r="D84" i="74"/>
  <c r="D83" i="74"/>
  <c r="D82" i="74"/>
  <c r="D81" i="74"/>
  <c r="D80" i="74"/>
  <c r="D79" i="74"/>
  <c r="D78" i="74"/>
  <c r="D77" i="74"/>
  <c r="D76" i="74"/>
  <c r="D75" i="74"/>
  <c r="D74" i="74"/>
  <c r="D73" i="74"/>
  <c r="D72" i="74"/>
  <c r="D71" i="74"/>
  <c r="D70" i="74"/>
  <c r="D69" i="74"/>
  <c r="D68" i="74"/>
  <c r="D67" i="74"/>
  <c r="D66" i="74"/>
  <c r="D65" i="74"/>
  <c r="D64" i="74"/>
  <c r="D63" i="74"/>
  <c r="D62" i="74"/>
  <c r="D61" i="74"/>
  <c r="D60" i="74"/>
  <c r="D59" i="74"/>
  <c r="D58" i="74"/>
  <c r="D54" i="74"/>
  <c r="D53" i="74"/>
  <c r="D52" i="74"/>
  <c r="D51" i="74"/>
  <c r="D49" i="74"/>
  <c r="D48" i="74"/>
  <c r="D47" i="74"/>
  <c r="D44" i="74"/>
  <c r="D43" i="74"/>
  <c r="D42" i="74"/>
  <c r="C41" i="74"/>
  <c r="D46" i="74"/>
  <c r="D45" i="74"/>
  <c r="D26" i="74"/>
  <c r="D25" i="74"/>
  <c r="D19" i="74"/>
  <c r="F33" i="74"/>
  <c r="F32" i="74"/>
  <c r="F31" i="74"/>
  <c r="F30" i="74"/>
  <c r="D33" i="74"/>
  <c r="D32" i="74"/>
  <c r="D31" i="74"/>
  <c r="D30" i="74"/>
  <c r="D24" i="74"/>
  <c r="D23" i="74"/>
  <c r="D22" i="74"/>
  <c r="D21" i="74"/>
  <c r="D20" i="74"/>
  <c r="L142" i="74"/>
  <c r="L139" i="74" s="1"/>
  <c r="I142" i="74"/>
  <c r="I139" i="74" s="1"/>
  <c r="J139" i="74"/>
  <c r="G139" i="74"/>
  <c r="E134" i="74"/>
  <c r="L133" i="74"/>
  <c r="I133" i="74"/>
  <c r="L132" i="74"/>
  <c r="I132" i="74"/>
  <c r="L131" i="74"/>
  <c r="I131" i="74"/>
  <c r="L130" i="74"/>
  <c r="I130" i="74"/>
  <c r="L129" i="74"/>
  <c r="I129" i="74"/>
  <c r="L128" i="74"/>
  <c r="I128" i="74"/>
  <c r="L127" i="74"/>
  <c r="I127" i="74"/>
  <c r="L126" i="74"/>
  <c r="I126" i="74"/>
  <c r="L125" i="74"/>
  <c r="I125" i="74"/>
  <c r="L124" i="74"/>
  <c r="I124" i="74"/>
  <c r="G123" i="74"/>
  <c r="M123" i="74" s="1"/>
  <c r="L122" i="74"/>
  <c r="I122" i="74"/>
  <c r="L121" i="74"/>
  <c r="I121" i="74"/>
  <c r="L120" i="74"/>
  <c r="I120" i="74"/>
  <c r="L119" i="74"/>
  <c r="I119" i="74"/>
  <c r="L118" i="74"/>
  <c r="I118" i="74"/>
  <c r="L117" i="74"/>
  <c r="I117" i="74"/>
  <c r="L116" i="74"/>
  <c r="I116" i="74"/>
  <c r="L115" i="74"/>
  <c r="I115" i="74"/>
  <c r="L114" i="74"/>
  <c r="I114" i="74"/>
  <c r="L113" i="74"/>
  <c r="I113" i="74"/>
  <c r="L112" i="74"/>
  <c r="I112" i="74"/>
  <c r="L111" i="74"/>
  <c r="I111" i="74"/>
  <c r="L110" i="74"/>
  <c r="I110" i="74"/>
  <c r="L109" i="74"/>
  <c r="I109" i="74"/>
  <c r="L108" i="74"/>
  <c r="I108" i="74"/>
  <c r="L107" i="74"/>
  <c r="I107" i="74"/>
  <c r="L106" i="74"/>
  <c r="I106" i="74"/>
  <c r="L105" i="74"/>
  <c r="I105" i="74"/>
  <c r="L104" i="74"/>
  <c r="I104" i="74"/>
  <c r="L103" i="74"/>
  <c r="I103" i="74"/>
  <c r="L102" i="74"/>
  <c r="I102" i="74"/>
  <c r="L101" i="74"/>
  <c r="I101" i="74"/>
  <c r="L100" i="74"/>
  <c r="I100" i="74"/>
  <c r="L99" i="74"/>
  <c r="I99" i="74"/>
  <c r="L98" i="74"/>
  <c r="I98" i="74"/>
  <c r="L97" i="74"/>
  <c r="I97" i="74"/>
  <c r="L96" i="74"/>
  <c r="I96" i="74"/>
  <c r="L95" i="74"/>
  <c r="I95" i="74"/>
  <c r="L94" i="74"/>
  <c r="I94" i="74"/>
  <c r="L93" i="74"/>
  <c r="I93" i="74"/>
  <c r="L92" i="74"/>
  <c r="I92" i="74"/>
  <c r="L91" i="74"/>
  <c r="I91" i="74"/>
  <c r="L90" i="74"/>
  <c r="I90" i="74"/>
  <c r="L89" i="74"/>
  <c r="I89" i="74"/>
  <c r="L88" i="74"/>
  <c r="I88" i="74"/>
  <c r="L87" i="74"/>
  <c r="I87" i="74"/>
  <c r="L86" i="74"/>
  <c r="I86" i="74"/>
  <c r="L85" i="74"/>
  <c r="I85" i="74"/>
  <c r="L84" i="74"/>
  <c r="I84" i="74"/>
  <c r="L83" i="74"/>
  <c r="I83" i="74"/>
  <c r="L82" i="74"/>
  <c r="I82" i="74"/>
  <c r="L81" i="74"/>
  <c r="I81" i="74"/>
  <c r="L80" i="74"/>
  <c r="I80" i="74"/>
  <c r="L79" i="74"/>
  <c r="I79" i="74"/>
  <c r="L78" i="74"/>
  <c r="I78" i="74"/>
  <c r="L77" i="74"/>
  <c r="I77" i="74"/>
  <c r="L76" i="74"/>
  <c r="I76" i="74"/>
  <c r="L75" i="74"/>
  <c r="I75" i="74"/>
  <c r="L74" i="74"/>
  <c r="I74" i="74"/>
  <c r="L73" i="74"/>
  <c r="I73" i="74"/>
  <c r="L72" i="74"/>
  <c r="I72" i="74"/>
  <c r="L71" i="74"/>
  <c r="I71" i="74"/>
  <c r="L70" i="74"/>
  <c r="I70" i="74"/>
  <c r="L69" i="74"/>
  <c r="I69" i="74"/>
  <c r="L68" i="74"/>
  <c r="I68" i="74"/>
  <c r="L67" i="74"/>
  <c r="I67" i="74"/>
  <c r="L66" i="74"/>
  <c r="I66" i="74"/>
  <c r="L65" i="74"/>
  <c r="I65" i="74"/>
  <c r="L64" i="74"/>
  <c r="I64" i="74"/>
  <c r="L63" i="74"/>
  <c r="I63" i="74"/>
  <c r="L62" i="74"/>
  <c r="I62" i="74"/>
  <c r="L61" i="74"/>
  <c r="I61" i="74"/>
  <c r="L60" i="74"/>
  <c r="I60" i="74"/>
  <c r="L59" i="74"/>
  <c r="I59" i="74"/>
  <c r="L58" i="74"/>
  <c r="I58" i="74"/>
  <c r="L57" i="74"/>
  <c r="I57" i="74"/>
  <c r="J56" i="74"/>
  <c r="G56" i="74"/>
  <c r="E56" i="74"/>
  <c r="C56" i="74"/>
  <c r="C134" i="74" s="1"/>
  <c r="J55" i="74"/>
  <c r="G55" i="74"/>
  <c r="L54" i="74"/>
  <c r="I54" i="74"/>
  <c r="L53" i="74"/>
  <c r="I53" i="74"/>
  <c r="L52" i="74"/>
  <c r="I52" i="74"/>
  <c r="L51" i="74"/>
  <c r="I51" i="74"/>
  <c r="L50" i="74"/>
  <c r="I50" i="74"/>
  <c r="L49" i="74"/>
  <c r="I49" i="74"/>
  <c r="L48" i="74"/>
  <c r="I48" i="74"/>
  <c r="L47" i="74"/>
  <c r="I47" i="74"/>
  <c r="L46" i="74"/>
  <c r="I46" i="74"/>
  <c r="L45" i="74"/>
  <c r="I45" i="74"/>
  <c r="M44" i="74"/>
  <c r="L44" i="74"/>
  <c r="I44" i="74"/>
  <c r="M43" i="74"/>
  <c r="L43" i="74"/>
  <c r="I43" i="74"/>
  <c r="M42" i="74"/>
  <c r="L42" i="74"/>
  <c r="I42" i="74"/>
  <c r="J41" i="74"/>
  <c r="G41" i="74"/>
  <c r="E41" i="74"/>
  <c r="J40" i="74"/>
  <c r="G40" i="74"/>
  <c r="E40" i="74"/>
  <c r="L36" i="74"/>
  <c r="L35" i="74"/>
  <c r="L32" i="74"/>
  <c r="L31" i="74"/>
  <c r="L30" i="74"/>
  <c r="J29" i="74"/>
  <c r="K28" i="74" s="1"/>
  <c r="G29" i="74"/>
  <c r="G33" i="74" s="1"/>
  <c r="H30" i="74" s="1"/>
  <c r="E29" i="74"/>
  <c r="F29" i="74" s="1"/>
  <c r="C29" i="74"/>
  <c r="D29" i="74" s="1"/>
  <c r="M28" i="74"/>
  <c r="L28" i="74"/>
  <c r="I28" i="74"/>
  <c r="M27" i="74"/>
  <c r="L27" i="74"/>
  <c r="I27" i="74"/>
  <c r="J26" i="74"/>
  <c r="J143" i="74" s="1"/>
  <c r="G26" i="74"/>
  <c r="E26" i="74"/>
  <c r="F19" i="74" s="1"/>
  <c r="M25" i="74"/>
  <c r="L25" i="74"/>
  <c r="I25" i="74"/>
  <c r="L24" i="74"/>
  <c r="I24" i="74"/>
  <c r="L23" i="74"/>
  <c r="I23" i="74"/>
  <c r="L22" i="74"/>
  <c r="I22" i="74"/>
  <c r="M21" i="74"/>
  <c r="L21" i="74"/>
  <c r="I21" i="74"/>
  <c r="M20" i="74"/>
  <c r="L20" i="74"/>
  <c r="I20" i="74"/>
  <c r="M19" i="74"/>
  <c r="L19" i="74"/>
  <c r="I19" i="74"/>
  <c r="G100" i="38"/>
  <c r="I105" i="38"/>
  <c r="I19" i="37"/>
  <c r="J19" i="37"/>
  <c r="K19" i="37"/>
  <c r="L19" i="37"/>
  <c r="P19" i="37"/>
  <c r="I20" i="37"/>
  <c r="J20" i="37"/>
  <c r="K20" i="37"/>
  <c r="L20" i="37"/>
  <c r="P20" i="37"/>
  <c r="I21" i="37"/>
  <c r="Q21" i="37" s="1"/>
  <c r="J21" i="37"/>
  <c r="K21" i="37"/>
  <c r="L21" i="37"/>
  <c r="P21" i="37"/>
  <c r="Q22" i="37"/>
  <c r="Q23" i="37"/>
  <c r="Q19" i="37" l="1"/>
  <c r="L41" i="74"/>
  <c r="L123" i="74"/>
  <c r="K20" i="74"/>
  <c r="L26" i="74"/>
  <c r="F24" i="74"/>
  <c r="Q20" i="37"/>
  <c r="H129" i="74"/>
  <c r="H121" i="74"/>
  <c r="H113" i="74"/>
  <c r="H105" i="74"/>
  <c r="H97" i="74"/>
  <c r="H89" i="74"/>
  <c r="H81" i="74"/>
  <c r="H73" i="74"/>
  <c r="H65" i="74"/>
  <c r="H57" i="74"/>
  <c r="H128" i="74"/>
  <c r="H120" i="74"/>
  <c r="H112" i="74"/>
  <c r="H104" i="74"/>
  <c r="H96" i="74"/>
  <c r="H88" i="74"/>
  <c r="H80" i="74"/>
  <c r="H72" i="74"/>
  <c r="H64" i="74"/>
  <c r="H118" i="74"/>
  <c r="H86" i="74"/>
  <c r="H70" i="74"/>
  <c r="H122" i="74"/>
  <c r="H82" i="74"/>
  <c r="H127" i="74"/>
  <c r="H119" i="74"/>
  <c r="H111" i="74"/>
  <c r="H103" i="74"/>
  <c r="H95" i="74"/>
  <c r="H87" i="74"/>
  <c r="H79" i="74"/>
  <c r="H71" i="74"/>
  <c r="H63" i="74"/>
  <c r="H62" i="74"/>
  <c r="H106" i="74"/>
  <c r="H66" i="74"/>
  <c r="H126" i="74"/>
  <c r="H110" i="74"/>
  <c r="H102" i="74"/>
  <c r="H94" i="74"/>
  <c r="H78" i="74"/>
  <c r="H133" i="74"/>
  <c r="H125" i="74"/>
  <c r="H117" i="74"/>
  <c r="H109" i="74"/>
  <c r="H101" i="74"/>
  <c r="H93" i="74"/>
  <c r="H85" i="74"/>
  <c r="H77" i="74"/>
  <c r="H69" i="74"/>
  <c r="H61" i="74"/>
  <c r="H130" i="74"/>
  <c r="H90" i="74"/>
  <c r="H132" i="74"/>
  <c r="H124" i="74"/>
  <c r="H116" i="74"/>
  <c r="H108" i="74"/>
  <c r="H100" i="74"/>
  <c r="H92" i="74"/>
  <c r="H84" i="74"/>
  <c r="H76" i="74"/>
  <c r="H68" i="74"/>
  <c r="H60" i="74"/>
  <c r="H98" i="74"/>
  <c r="H58" i="74"/>
  <c r="H131" i="74"/>
  <c r="H115" i="74"/>
  <c r="H107" i="74"/>
  <c r="H99" i="74"/>
  <c r="H91" i="74"/>
  <c r="H83" i="74"/>
  <c r="H75" i="74"/>
  <c r="H67" i="74"/>
  <c r="H59" i="74"/>
  <c r="H114" i="74"/>
  <c r="H74" i="74"/>
  <c r="I56" i="74"/>
  <c r="F26" i="74"/>
  <c r="F143" i="74" s="1"/>
  <c r="K25" i="74"/>
  <c r="H21" i="74"/>
  <c r="H19" i="74"/>
  <c r="I123" i="74"/>
  <c r="H123" i="74"/>
  <c r="M139" i="74"/>
  <c r="M55" i="74"/>
  <c r="K24" i="74"/>
  <c r="K19" i="74"/>
  <c r="F52" i="74"/>
  <c r="F44" i="74"/>
  <c r="F51" i="74"/>
  <c r="F43" i="74"/>
  <c r="F49" i="74"/>
  <c r="F50" i="74"/>
  <c r="F42" i="74"/>
  <c r="F48" i="74"/>
  <c r="F45" i="74"/>
  <c r="F47" i="74"/>
  <c r="F53" i="74"/>
  <c r="F54" i="74"/>
  <c r="F46" i="74"/>
  <c r="H47" i="74"/>
  <c r="H54" i="74"/>
  <c r="H46" i="74"/>
  <c r="H52" i="74"/>
  <c r="H48" i="74"/>
  <c r="H53" i="74"/>
  <c r="H45" i="74"/>
  <c r="H44" i="74"/>
  <c r="H51" i="74"/>
  <c r="H43" i="74"/>
  <c r="H50" i="74"/>
  <c r="H42" i="74"/>
  <c r="H49" i="74"/>
  <c r="H24" i="74"/>
  <c r="I29" i="74"/>
  <c r="L29" i="74"/>
  <c r="L143" i="74" s="1"/>
  <c r="K51" i="74"/>
  <c r="K43" i="74"/>
  <c r="K44" i="74"/>
  <c r="K50" i="74"/>
  <c r="K42" i="74"/>
  <c r="K49" i="74"/>
  <c r="K48" i="74"/>
  <c r="K47" i="74"/>
  <c r="K54" i="74"/>
  <c r="K46" i="74"/>
  <c r="K52" i="74"/>
  <c r="K53" i="74"/>
  <c r="K45" i="74"/>
  <c r="F23" i="74"/>
  <c r="H25" i="74"/>
  <c r="K128" i="74"/>
  <c r="K120" i="74"/>
  <c r="K112" i="74"/>
  <c r="K104" i="74"/>
  <c r="K96" i="74"/>
  <c r="K88" i="74"/>
  <c r="K80" i="74"/>
  <c r="K72" i="74"/>
  <c r="K64" i="74"/>
  <c r="K55" i="74"/>
  <c r="K106" i="74"/>
  <c r="K127" i="74"/>
  <c r="K119" i="74"/>
  <c r="K111" i="74"/>
  <c r="K103" i="74"/>
  <c r="K95" i="74"/>
  <c r="K87" i="74"/>
  <c r="K79" i="74"/>
  <c r="K71" i="74"/>
  <c r="K63" i="74"/>
  <c r="K130" i="74"/>
  <c r="K74" i="74"/>
  <c r="K126" i="74"/>
  <c r="K118" i="74"/>
  <c r="K110" i="74"/>
  <c r="K102" i="74"/>
  <c r="K94" i="74"/>
  <c r="K86" i="74"/>
  <c r="K78" i="74"/>
  <c r="K70" i="74"/>
  <c r="K62" i="74"/>
  <c r="K82" i="74"/>
  <c r="K133" i="74"/>
  <c r="K125" i="74"/>
  <c r="K117" i="74"/>
  <c r="K109" i="74"/>
  <c r="K101" i="74"/>
  <c r="K93" i="74"/>
  <c r="K85" i="74"/>
  <c r="K77" i="74"/>
  <c r="K69" i="74"/>
  <c r="K61" i="74"/>
  <c r="K122" i="74"/>
  <c r="K66" i="74"/>
  <c r="K132" i="74"/>
  <c r="K124" i="74"/>
  <c r="K116" i="74"/>
  <c r="K108" i="74"/>
  <c r="K100" i="74"/>
  <c r="K92" i="74"/>
  <c r="K84" i="74"/>
  <c r="K76" i="74"/>
  <c r="K68" i="74"/>
  <c r="K60" i="74"/>
  <c r="K90" i="74"/>
  <c r="K131" i="74"/>
  <c r="K123" i="74"/>
  <c r="K115" i="74"/>
  <c r="K107" i="74"/>
  <c r="K99" i="74"/>
  <c r="K91" i="74"/>
  <c r="K83" i="74"/>
  <c r="K75" i="74"/>
  <c r="K67" i="74"/>
  <c r="K59" i="74"/>
  <c r="K114" i="74"/>
  <c r="K58" i="74"/>
  <c r="K129" i="74"/>
  <c r="K121" i="74"/>
  <c r="K113" i="74"/>
  <c r="K105" i="74"/>
  <c r="K97" i="74"/>
  <c r="K89" i="74"/>
  <c r="K81" i="74"/>
  <c r="K73" i="74"/>
  <c r="K65" i="74"/>
  <c r="K57" i="74"/>
  <c r="K98" i="74"/>
  <c r="K134" i="74"/>
  <c r="D143" i="74"/>
  <c r="I40" i="74"/>
  <c r="I33" i="74" s="1"/>
  <c r="I34" i="74" s="1"/>
  <c r="G143" i="74"/>
  <c r="M143" i="74" s="1"/>
  <c r="F25" i="74"/>
  <c r="K27" i="74"/>
  <c r="D34" i="74"/>
  <c r="F27" i="74"/>
  <c r="H20" i="74"/>
  <c r="H28" i="74"/>
  <c r="K21" i="74"/>
  <c r="I26" i="74"/>
  <c r="E37" i="74"/>
  <c r="D27" i="74"/>
  <c r="F20" i="74"/>
  <c r="F28" i="74"/>
  <c r="K22" i="74"/>
  <c r="E143" i="74"/>
  <c r="F34" i="74"/>
  <c r="H27" i="74"/>
  <c r="G37" i="74"/>
  <c r="I41" i="74"/>
  <c r="I55" i="74"/>
  <c r="G134" i="74"/>
  <c r="M134" i="74" s="1"/>
  <c r="D28" i="74"/>
  <c r="F21" i="74"/>
  <c r="H22" i="74"/>
  <c r="K23" i="74"/>
  <c r="C143" i="74"/>
  <c r="L134" i="74"/>
  <c r="L40" i="74"/>
  <c r="L56" i="74"/>
  <c r="F22" i="74"/>
  <c r="H23" i="74"/>
  <c r="M41" i="74"/>
  <c r="D56" i="74"/>
  <c r="G34" i="74"/>
  <c r="J33" i="74"/>
  <c r="M40" i="74"/>
  <c r="L55" i="74"/>
  <c r="I134" i="74"/>
  <c r="M29" i="74"/>
  <c r="J37" i="74"/>
  <c r="H56" i="74" l="1"/>
  <c r="K56" i="74"/>
  <c r="H134" i="74"/>
  <c r="H55" i="74"/>
  <c r="F55" i="74"/>
  <c r="F134" i="74"/>
  <c r="K30" i="74"/>
  <c r="I37" i="74"/>
  <c r="I143" i="74"/>
  <c r="H31" i="74"/>
  <c r="H32" i="74"/>
  <c r="H29" i="74"/>
  <c r="H33" i="74"/>
  <c r="H26" i="74"/>
  <c r="H143" i="74" s="1"/>
  <c r="D134" i="74"/>
  <c r="D55" i="74"/>
  <c r="L37" i="74"/>
  <c r="M37" i="74" s="1"/>
  <c r="H40" i="74"/>
  <c r="H41" i="74" s="1"/>
  <c r="M33" i="74"/>
  <c r="M34" i="74" s="1"/>
  <c r="J34" i="74"/>
  <c r="L33" i="74"/>
  <c r="L34" i="74" s="1"/>
  <c r="H34" i="74" l="1"/>
  <c r="K32" i="74"/>
  <c r="K31" i="74"/>
  <c r="K26" i="74"/>
  <c r="K29" i="74"/>
  <c r="K33" i="74"/>
  <c r="K143" i="74" l="1"/>
  <c r="K34" i="74"/>
  <c r="G105" i="38" l="1"/>
  <c r="H36" i="38"/>
  <c r="E105" i="38"/>
  <c r="E101" i="38"/>
  <c r="N38" i="38"/>
  <c r="D25" i="38"/>
  <c r="N26" i="38"/>
  <c r="N27" i="38"/>
  <c r="L15" i="7"/>
  <c r="L21" i="7"/>
  <c r="L20" i="7"/>
  <c r="L19" i="7"/>
  <c r="L18" i="7"/>
  <c r="L17" i="7"/>
  <c r="L16" i="7"/>
  <c r="I21" i="7"/>
  <c r="I20" i="7"/>
  <c r="I19" i="7"/>
  <c r="I18" i="7"/>
  <c r="I17" i="7"/>
  <c r="I16" i="7"/>
  <c r="I15" i="7"/>
  <c r="G21" i="7"/>
  <c r="G20" i="7"/>
  <c r="G19" i="7"/>
  <c r="G18" i="7"/>
  <c r="G17" i="7"/>
  <c r="G16" i="7"/>
  <c r="G15" i="7"/>
  <c r="E21" i="7"/>
  <c r="E19" i="7"/>
  <c r="E18" i="7"/>
  <c r="E17" i="7"/>
  <c r="E16" i="7"/>
  <c r="E15" i="7"/>
  <c r="E20" i="7"/>
  <c r="N15" i="38"/>
  <c r="N98" i="38"/>
  <c r="N99" i="38"/>
  <c r="N101" i="38"/>
  <c r="N102" i="38"/>
  <c r="N103" i="38"/>
  <c r="N104" i="38"/>
  <c r="E23" i="38" l="1"/>
  <c r="E24" i="38"/>
  <c r="I38" i="38"/>
  <c r="I39" i="38"/>
  <c r="I40" i="38"/>
  <c r="I41" i="38"/>
  <c r="I42" i="38"/>
  <c r="N43" i="35" l="1"/>
  <c r="H8" i="73" l="1"/>
  <c r="G9" i="73"/>
  <c r="E11" i="73"/>
  <c r="E7" i="73"/>
  <c r="H9" i="73"/>
  <c r="H10" i="73"/>
  <c r="H11" i="73"/>
  <c r="H12" i="73"/>
  <c r="H7" i="73"/>
  <c r="F13" i="73"/>
  <c r="G11" i="73" s="1"/>
  <c r="D13" i="73"/>
  <c r="E10" i="73" s="1"/>
  <c r="E12" i="73" l="1"/>
  <c r="E13" i="73" s="1"/>
  <c r="G7" i="73"/>
  <c r="G8" i="73"/>
  <c r="E8" i="73"/>
  <c r="G10" i="73"/>
  <c r="E9" i="73"/>
  <c r="H13" i="73"/>
  <c r="I11" i="73" s="1"/>
  <c r="G12" i="73"/>
  <c r="J15" i="38"/>
  <c r="G13" i="73" l="1"/>
  <c r="I7" i="73"/>
  <c r="I9" i="73"/>
  <c r="I10" i="73"/>
  <c r="I12" i="73"/>
  <c r="I8" i="73"/>
  <c r="D51" i="72"/>
  <c r="D52" i="72"/>
  <c r="E52" i="72"/>
  <c r="D53" i="72"/>
  <c r="E53" i="72"/>
  <c r="D54" i="72"/>
  <c r="E54" i="72"/>
  <c r="D55" i="72"/>
  <c r="E55" i="72"/>
  <c r="D56" i="72"/>
  <c r="E50" i="72"/>
  <c r="D50" i="72"/>
  <c r="C51" i="72"/>
  <c r="C52" i="72"/>
  <c r="C53" i="72"/>
  <c r="C54" i="72"/>
  <c r="C55" i="72"/>
  <c r="C56" i="72"/>
  <c r="C50" i="72"/>
  <c r="D57" i="72" l="1"/>
  <c r="I13" i="73"/>
  <c r="G46" i="72"/>
  <c r="E46" i="72"/>
  <c r="F40" i="72"/>
  <c r="F41" i="72"/>
  <c r="F42" i="72"/>
  <c r="F43" i="72"/>
  <c r="F44" i="72"/>
  <c r="F45" i="72"/>
  <c r="F39" i="72"/>
  <c r="D41" i="72"/>
  <c r="D42" i="72"/>
  <c r="D43" i="72"/>
  <c r="D44" i="72"/>
  <c r="D39" i="72"/>
  <c r="C40" i="72"/>
  <c r="C41" i="72"/>
  <c r="C42" i="72"/>
  <c r="C43" i="72"/>
  <c r="C44" i="72"/>
  <c r="C45" i="72"/>
  <c r="C39" i="72"/>
  <c r="N88" i="40"/>
  <c r="N34" i="40"/>
  <c r="N35" i="40"/>
  <c r="N37" i="40"/>
  <c r="N38" i="40"/>
  <c r="N41" i="40"/>
  <c r="N42" i="40"/>
  <c r="N44" i="40"/>
  <c r="N45" i="40"/>
  <c r="N48" i="40"/>
  <c r="N49" i="40"/>
  <c r="N50" i="40"/>
  <c r="N51" i="40"/>
  <c r="N52" i="40"/>
  <c r="N55" i="40"/>
  <c r="N56" i="40"/>
  <c r="N57" i="40"/>
  <c r="N58" i="40"/>
  <c r="N59" i="40"/>
  <c r="N62" i="40"/>
  <c r="N63" i="40"/>
  <c r="N64" i="40"/>
  <c r="N65" i="40"/>
  <c r="N66" i="40"/>
  <c r="N69" i="40"/>
  <c r="N70" i="40"/>
  <c r="N72" i="40"/>
  <c r="N73" i="40"/>
  <c r="N76" i="40"/>
  <c r="N77" i="40"/>
  <c r="N78" i="40"/>
  <c r="N79" i="40"/>
  <c r="N80" i="40"/>
  <c r="N85" i="40"/>
  <c r="N86" i="40"/>
  <c r="N87" i="40"/>
  <c r="F18" i="72"/>
  <c r="E18" i="72"/>
  <c r="D18" i="72"/>
  <c r="N16" i="38"/>
  <c r="N17" i="38"/>
  <c r="N21" i="38"/>
  <c r="N24" i="38"/>
  <c r="F16" i="72"/>
  <c r="E16" i="72"/>
  <c r="D3" i="71"/>
  <c r="D4" i="71"/>
  <c r="D5" i="71"/>
  <c r="D6" i="71"/>
  <c r="I6" i="71" s="1"/>
  <c r="D7" i="71"/>
  <c r="D8" i="71"/>
  <c r="D2" i="71"/>
  <c r="I2" i="71" s="1"/>
  <c r="C3" i="71"/>
  <c r="C4" i="71"/>
  <c r="C5" i="71"/>
  <c r="C6" i="71"/>
  <c r="C7" i="71"/>
  <c r="C8" i="71"/>
  <c r="C10" i="71"/>
  <c r="C2" i="71"/>
  <c r="F106" i="71"/>
  <c r="E106" i="71"/>
  <c r="F88" i="71"/>
  <c r="H88" i="71" s="1"/>
  <c r="I88" i="71"/>
  <c r="F87" i="71"/>
  <c r="E87" i="71"/>
  <c r="I87" i="71" s="1"/>
  <c r="F86" i="71"/>
  <c r="E86" i="71"/>
  <c r="I86" i="71" s="1"/>
  <c r="F85" i="71"/>
  <c r="E85" i="71"/>
  <c r="I85" i="71" s="1"/>
  <c r="F84" i="71"/>
  <c r="E84" i="71"/>
  <c r="I84" i="71" s="1"/>
  <c r="F83" i="71"/>
  <c r="E83" i="71"/>
  <c r="I83" i="71" s="1"/>
  <c r="F82" i="71"/>
  <c r="E82" i="71"/>
  <c r="I82" i="71" s="1"/>
  <c r="F81" i="71"/>
  <c r="E81" i="71"/>
  <c r="I81" i="71" s="1"/>
  <c r="F80" i="71"/>
  <c r="E80" i="71"/>
  <c r="I80" i="71" s="1"/>
  <c r="I75" i="71"/>
  <c r="H75" i="71"/>
  <c r="I74" i="71"/>
  <c r="H74" i="71"/>
  <c r="I73" i="71"/>
  <c r="H73" i="71"/>
  <c r="I72" i="71"/>
  <c r="H72" i="71"/>
  <c r="F71" i="71"/>
  <c r="E71" i="71"/>
  <c r="E76" i="71" s="1"/>
  <c r="I70" i="71"/>
  <c r="I69" i="71"/>
  <c r="I68" i="71"/>
  <c r="I67" i="71"/>
  <c r="E62" i="71"/>
  <c r="G62" i="71" s="1"/>
  <c r="F61" i="71"/>
  <c r="E61" i="71"/>
  <c r="I61" i="71" s="1"/>
  <c r="F60" i="71"/>
  <c r="E60" i="71"/>
  <c r="I60" i="71" s="1"/>
  <c r="F59" i="71"/>
  <c r="E59" i="71"/>
  <c r="F58" i="71"/>
  <c r="E58" i="71"/>
  <c r="I58" i="71" s="1"/>
  <c r="F57" i="71"/>
  <c r="E57" i="71"/>
  <c r="F56" i="71"/>
  <c r="E56" i="71"/>
  <c r="I56" i="71" s="1"/>
  <c r="F55" i="71"/>
  <c r="E55" i="71"/>
  <c r="F54" i="71"/>
  <c r="E54" i="71"/>
  <c r="E49" i="71"/>
  <c r="H49" i="71" s="1"/>
  <c r="F48" i="71"/>
  <c r="E48" i="71"/>
  <c r="F47" i="71"/>
  <c r="E47" i="71"/>
  <c r="I47" i="71" s="1"/>
  <c r="F46" i="71"/>
  <c r="E46" i="71"/>
  <c r="I46" i="71" s="1"/>
  <c r="F45" i="71"/>
  <c r="E45" i="71"/>
  <c r="I45" i="71" s="1"/>
  <c r="F44" i="71"/>
  <c r="E44" i="71"/>
  <c r="F43" i="71"/>
  <c r="E43" i="71"/>
  <c r="I43" i="71" s="1"/>
  <c r="F42" i="71"/>
  <c r="E42" i="71"/>
  <c r="I42" i="71" s="1"/>
  <c r="F41" i="71"/>
  <c r="E41" i="71"/>
  <c r="I41" i="71" s="1"/>
  <c r="E36" i="71"/>
  <c r="H36" i="71" s="1"/>
  <c r="F35" i="71"/>
  <c r="E35" i="71"/>
  <c r="F34" i="71"/>
  <c r="E34" i="71"/>
  <c r="I34" i="71" s="1"/>
  <c r="F33" i="71"/>
  <c r="E33" i="71"/>
  <c r="F32" i="71"/>
  <c r="E32" i="71"/>
  <c r="I32" i="71" s="1"/>
  <c r="F31" i="71"/>
  <c r="E31" i="71"/>
  <c r="I31" i="71" s="1"/>
  <c r="F30" i="71"/>
  <c r="E30" i="71"/>
  <c r="F29" i="71"/>
  <c r="E29" i="71"/>
  <c r="F28" i="71"/>
  <c r="E28" i="71"/>
  <c r="I28" i="71" s="1"/>
  <c r="F23" i="71"/>
  <c r="E23" i="71"/>
  <c r="I23" i="71" s="1"/>
  <c r="F22" i="71"/>
  <c r="E22" i="71"/>
  <c r="I22" i="71" s="1"/>
  <c r="F21" i="71"/>
  <c r="E21" i="71"/>
  <c r="I21" i="71" s="1"/>
  <c r="F20" i="71"/>
  <c r="E20" i="71"/>
  <c r="F19" i="71"/>
  <c r="E19" i="71"/>
  <c r="I19" i="71" s="1"/>
  <c r="F18" i="71"/>
  <c r="E18" i="71"/>
  <c r="F17" i="71"/>
  <c r="E17" i="71"/>
  <c r="F16" i="71"/>
  <c r="E16" i="71"/>
  <c r="F15" i="71"/>
  <c r="E15" i="71"/>
  <c r="H9" i="71"/>
  <c r="H8" i="71"/>
  <c r="H7" i="71"/>
  <c r="I7" i="71"/>
  <c r="H6" i="71"/>
  <c r="H5" i="71"/>
  <c r="G5" i="71"/>
  <c r="G4" i="71"/>
  <c r="H4" i="71"/>
  <c r="G3" i="71"/>
  <c r="E11" i="71"/>
  <c r="H17" i="71" l="1"/>
  <c r="G20" i="71"/>
  <c r="G86" i="71"/>
  <c r="G15" i="71"/>
  <c r="E94" i="71"/>
  <c r="H48" i="71"/>
  <c r="H80" i="71"/>
  <c r="G17" i="71"/>
  <c r="H60" i="71"/>
  <c r="G55" i="71"/>
  <c r="H59" i="71"/>
  <c r="H23" i="71"/>
  <c r="E101" i="71"/>
  <c r="H33" i="71"/>
  <c r="G44" i="71"/>
  <c r="G48" i="71"/>
  <c r="H87" i="71"/>
  <c r="H42" i="71"/>
  <c r="H46" i="71"/>
  <c r="H84" i="71"/>
  <c r="H19" i="71"/>
  <c r="H45" i="71"/>
  <c r="H43" i="71"/>
  <c r="F94" i="71"/>
  <c r="H94" i="71" s="1"/>
  <c r="I49" i="71"/>
  <c r="F100" i="71"/>
  <c r="H82" i="71"/>
  <c r="E95" i="71"/>
  <c r="H18" i="71"/>
  <c r="H22" i="71"/>
  <c r="G36" i="71"/>
  <c r="G54" i="71"/>
  <c r="G58" i="71"/>
  <c r="G80" i="71"/>
  <c r="F96" i="71"/>
  <c r="H55" i="71"/>
  <c r="H20" i="71"/>
  <c r="H34" i="71"/>
  <c r="G49" i="71"/>
  <c r="G82" i="71"/>
  <c r="F93" i="71"/>
  <c r="G18" i="71"/>
  <c r="H30" i="71"/>
  <c r="G32" i="71"/>
  <c r="H44" i="71"/>
  <c r="H47" i="71"/>
  <c r="E50" i="71"/>
  <c r="G56" i="71"/>
  <c r="G71" i="71"/>
  <c r="G76" i="71" s="1"/>
  <c r="H83" i="71"/>
  <c r="G88" i="71"/>
  <c r="H41" i="71"/>
  <c r="E24" i="71"/>
  <c r="G30" i="71"/>
  <c r="E100" i="71"/>
  <c r="G42" i="71"/>
  <c r="I48" i="71"/>
  <c r="E63" i="71"/>
  <c r="H62" i="71"/>
  <c r="H71" i="71"/>
  <c r="H32" i="71"/>
  <c r="H16" i="71"/>
  <c r="H21" i="71"/>
  <c r="I30" i="71"/>
  <c r="H35" i="71"/>
  <c r="H57" i="71"/>
  <c r="F63" i="71"/>
  <c r="H81" i="71"/>
  <c r="E89" i="71"/>
  <c r="E107" i="71" s="1"/>
  <c r="H56" i="71"/>
  <c r="F37" i="71"/>
  <c r="H31" i="71"/>
  <c r="G35" i="71"/>
  <c r="F76" i="71"/>
  <c r="H76" i="71" s="1"/>
  <c r="G84" i="71"/>
  <c r="H86" i="71"/>
  <c r="F101" i="71"/>
  <c r="H101" i="71" s="1"/>
  <c r="E99" i="71"/>
  <c r="G34" i="71"/>
  <c r="H85" i="71"/>
  <c r="G19" i="71"/>
  <c r="G28" i="71"/>
  <c r="G43" i="71"/>
  <c r="G46" i="71"/>
  <c r="I57" i="71"/>
  <c r="G60" i="71"/>
  <c r="G23" i="71"/>
  <c r="G16" i="71"/>
  <c r="F95" i="71"/>
  <c r="I20" i="71"/>
  <c r="H29" i="71"/>
  <c r="F89" i="71"/>
  <c r="I89" i="71"/>
  <c r="F11" i="71"/>
  <c r="I59" i="71"/>
  <c r="F99" i="71"/>
  <c r="I5" i="71"/>
  <c r="G10" i="71"/>
  <c r="I17" i="71"/>
  <c r="I18" i="71"/>
  <c r="F24" i="71"/>
  <c r="H28" i="71"/>
  <c r="I44" i="71"/>
  <c r="G47" i="71"/>
  <c r="F50" i="71"/>
  <c r="H54" i="71"/>
  <c r="H58" i="71"/>
  <c r="I62" i="71"/>
  <c r="I71" i="71"/>
  <c r="I97" i="71" s="1"/>
  <c r="G81" i="71"/>
  <c r="G85" i="71"/>
  <c r="E97" i="71"/>
  <c r="F98" i="71"/>
  <c r="H10" i="71"/>
  <c r="H15" i="71"/>
  <c r="I16" i="71"/>
  <c r="G31" i="71"/>
  <c r="I35" i="71"/>
  <c r="I36" i="71"/>
  <c r="I54" i="71"/>
  <c r="G57" i="71"/>
  <c r="G61" i="71"/>
  <c r="E96" i="71"/>
  <c r="F97" i="71"/>
  <c r="I29" i="71"/>
  <c r="I33" i="71"/>
  <c r="I55" i="71"/>
  <c r="E98" i="71"/>
  <c r="G2" i="71"/>
  <c r="H3" i="71"/>
  <c r="I4" i="71"/>
  <c r="H2" i="71"/>
  <c r="I3" i="71"/>
  <c r="G9" i="71"/>
  <c r="I10" i="71"/>
  <c r="I15" i="71"/>
  <c r="H61" i="71"/>
  <c r="E37" i="71"/>
  <c r="G7" i="71"/>
  <c r="G21" i="71"/>
  <c r="G22" i="71"/>
  <c r="G41" i="71"/>
  <c r="G45" i="71"/>
  <c r="G83" i="71"/>
  <c r="G87" i="71"/>
  <c r="E93" i="71"/>
  <c r="G29" i="71"/>
  <c r="G8" i="71"/>
  <c r="G6" i="71"/>
  <c r="I8" i="71"/>
  <c r="G33" i="71"/>
  <c r="G59" i="71"/>
  <c r="I50" i="71" l="1"/>
  <c r="H24" i="71"/>
  <c r="H96" i="71"/>
  <c r="H95" i="71"/>
  <c r="I98" i="71"/>
  <c r="H63" i="71"/>
  <c r="H100" i="71"/>
  <c r="G95" i="71"/>
  <c r="G101" i="71"/>
  <c r="H89" i="71"/>
  <c r="H37" i="71"/>
  <c r="G50" i="71"/>
  <c r="G63" i="71"/>
  <c r="H50" i="71"/>
  <c r="G24" i="71"/>
  <c r="G100" i="71"/>
  <c r="F107" i="71"/>
  <c r="H99" i="71"/>
  <c r="G97" i="71"/>
  <c r="G37" i="71"/>
  <c r="G98" i="71"/>
  <c r="I37" i="71"/>
  <c r="G96" i="71"/>
  <c r="H98" i="71"/>
  <c r="I24" i="71"/>
  <c r="G99" i="71"/>
  <c r="E103" i="71"/>
  <c r="G93" i="71"/>
  <c r="G11" i="71"/>
  <c r="I101" i="71"/>
  <c r="I63" i="71"/>
  <c r="G94" i="71"/>
  <c r="H11" i="71"/>
  <c r="F103" i="71"/>
  <c r="E102" i="71"/>
  <c r="I94" i="71"/>
  <c r="I93" i="71"/>
  <c r="I96" i="71"/>
  <c r="H93" i="71"/>
  <c r="I76" i="71"/>
  <c r="I99" i="71"/>
  <c r="H97" i="71"/>
  <c r="F102" i="71"/>
  <c r="I95" i="71"/>
  <c r="G89" i="71"/>
  <c r="H103" i="71" l="1"/>
  <c r="F104" i="71"/>
  <c r="F105" i="71" s="1"/>
  <c r="H102" i="71"/>
  <c r="H104" i="71" s="1"/>
  <c r="G103" i="71"/>
  <c r="G102" i="71"/>
  <c r="E104" i="71"/>
  <c r="E105" i="71" s="1"/>
  <c r="G104" i="71" l="1"/>
  <c r="E6" i="72" l="1"/>
  <c r="D7" i="72"/>
  <c r="E7" i="72"/>
  <c r="D8" i="72"/>
  <c r="E8" i="72"/>
  <c r="D9" i="72"/>
  <c r="E9" i="72"/>
  <c r="D10" i="72"/>
  <c r="E10" i="72"/>
  <c r="E11" i="72"/>
  <c r="E5" i="72"/>
  <c r="D5" i="72"/>
  <c r="K74" i="38" l="1"/>
  <c r="K25" i="40"/>
  <c r="M53" i="37"/>
  <c r="M54" i="37"/>
  <c r="M52" i="37"/>
  <c r="K36" i="7"/>
  <c r="E71" i="40"/>
  <c r="E83" i="40"/>
  <c r="N45" i="7"/>
  <c r="N49" i="7"/>
  <c r="N48" i="7"/>
  <c r="N47" i="7"/>
  <c r="N46" i="7"/>
  <c r="F49" i="7"/>
  <c r="H49" i="7"/>
  <c r="J49" i="7"/>
  <c r="K49" i="7"/>
  <c r="M49" i="7"/>
  <c r="D49" i="7"/>
  <c r="N41" i="7"/>
  <c r="M41" i="7"/>
  <c r="E44" i="7"/>
  <c r="F44" i="7"/>
  <c r="G44" i="7"/>
  <c r="H44" i="7"/>
  <c r="I44" i="7"/>
  <c r="J44" i="7"/>
  <c r="K44" i="7"/>
  <c r="L44" i="7"/>
  <c r="M44" i="7"/>
  <c r="N44" i="7"/>
  <c r="D44" i="7"/>
  <c r="E39" i="7"/>
  <c r="F39" i="7"/>
  <c r="G39" i="7"/>
  <c r="H39" i="7"/>
  <c r="I39" i="7"/>
  <c r="J39" i="7"/>
  <c r="K39" i="7"/>
  <c r="L39" i="7"/>
  <c r="M39" i="7"/>
  <c r="N39" i="7"/>
  <c r="D39" i="7"/>
  <c r="F36" i="7"/>
  <c r="H36" i="7"/>
  <c r="J36" i="7"/>
  <c r="M36" i="7"/>
  <c r="N36" i="7"/>
  <c r="D36" i="7"/>
  <c r="F33" i="7"/>
  <c r="H33" i="7"/>
  <c r="J33" i="7"/>
  <c r="K33" i="7"/>
  <c r="M33" i="7"/>
  <c r="N33" i="7"/>
  <c r="D33" i="7"/>
  <c r="D30" i="7"/>
  <c r="D29" i="7"/>
  <c r="J25" i="7"/>
  <c r="J24" i="7"/>
  <c r="J15" i="7"/>
  <c r="J16" i="7"/>
  <c r="J17" i="7"/>
  <c r="J18" i="7"/>
  <c r="J19" i="7"/>
  <c r="J20" i="7"/>
  <c r="J21" i="7"/>
  <c r="L38" i="7"/>
  <c r="I38" i="7"/>
  <c r="G38" i="7"/>
  <c r="E38" i="7"/>
  <c r="F30" i="7"/>
  <c r="H30" i="7"/>
  <c r="K30" i="7"/>
  <c r="M30" i="7"/>
  <c r="E29" i="7"/>
  <c r="F29" i="7"/>
  <c r="G29" i="7"/>
  <c r="H29" i="7"/>
  <c r="I29" i="7"/>
  <c r="K29" i="7"/>
  <c r="L29" i="7"/>
  <c r="M29" i="7"/>
  <c r="N29" i="7"/>
  <c r="K25" i="7"/>
  <c r="H25" i="7"/>
  <c r="F25" i="7"/>
  <c r="D25" i="7"/>
  <c r="N22" i="7"/>
  <c r="L22" i="7"/>
  <c r="L36" i="7" s="1"/>
  <c r="I22" i="7"/>
  <c r="I49" i="7" s="1"/>
  <c r="G22" i="7"/>
  <c r="G36" i="7" s="1"/>
  <c r="E22" i="7"/>
  <c r="E36" i="7" s="1"/>
  <c r="N21" i="7"/>
  <c r="N20" i="7"/>
  <c r="N17" i="7"/>
  <c r="N16" i="7"/>
  <c r="N15" i="7"/>
  <c r="M15" i="7"/>
  <c r="M16" i="7"/>
  <c r="M17" i="7"/>
  <c r="M18" i="7"/>
  <c r="M19" i="7"/>
  <c r="M20" i="7"/>
  <c r="M21" i="7"/>
  <c r="K22" i="7"/>
  <c r="H22" i="7"/>
  <c r="F22" i="7"/>
  <c r="D22" i="7"/>
  <c r="R25" i="37"/>
  <c r="P48" i="37"/>
  <c r="P47" i="37"/>
  <c r="P46" i="37"/>
  <c r="H30" i="40"/>
  <c r="H29" i="40"/>
  <c r="H22" i="40"/>
  <c r="H25" i="40"/>
  <c r="H28" i="40"/>
  <c r="F22" i="40"/>
  <c r="R39" i="37"/>
  <c r="R34" i="37"/>
  <c r="R33" i="37"/>
  <c r="R32" i="37"/>
  <c r="H25" i="38"/>
  <c r="H22" i="38"/>
  <c r="R19" i="37"/>
  <c r="H47" i="37"/>
  <c r="I47" i="37"/>
  <c r="O48" i="37"/>
  <c r="O47" i="37"/>
  <c r="O46" i="37"/>
  <c r="N48" i="37"/>
  <c r="N47" i="37"/>
  <c r="N46" i="37"/>
  <c r="L48" i="37"/>
  <c r="L47" i="37"/>
  <c r="L46" i="37"/>
  <c r="K48" i="37"/>
  <c r="K47" i="37"/>
  <c r="K46" i="37"/>
  <c r="J48" i="37"/>
  <c r="J47" i="37"/>
  <c r="J46" i="37"/>
  <c r="N39" i="37"/>
  <c r="I25" i="37"/>
  <c r="I14" i="37"/>
  <c r="P27" i="37"/>
  <c r="L27" i="37"/>
  <c r="K27" i="37"/>
  <c r="J27" i="37"/>
  <c r="P26" i="37"/>
  <c r="L26" i="37"/>
  <c r="K26" i="37"/>
  <c r="P25" i="37"/>
  <c r="L25" i="37"/>
  <c r="K25" i="37"/>
  <c r="J25" i="37"/>
  <c r="J24" i="37"/>
  <c r="P15" i="37"/>
  <c r="L15" i="37"/>
  <c r="K15" i="37"/>
  <c r="J15" i="37"/>
  <c r="P14" i="37"/>
  <c r="L14" i="37"/>
  <c r="K14" i="37"/>
  <c r="J14" i="37"/>
  <c r="J13" i="37"/>
  <c r="P13" i="37"/>
  <c r="L13" i="37"/>
  <c r="K13" i="37"/>
  <c r="O8" i="37"/>
  <c r="O54" i="37" s="1"/>
  <c r="R8" i="37"/>
  <c r="I8" i="37"/>
  <c r="P8" i="37"/>
  <c r="L8" i="37"/>
  <c r="K8" i="37"/>
  <c r="J8" i="37"/>
  <c r="O7" i="37"/>
  <c r="O53" i="37" s="1"/>
  <c r="R7" i="37"/>
  <c r="I7" i="37"/>
  <c r="P7" i="37"/>
  <c r="L7" i="37"/>
  <c r="K7" i="37"/>
  <c r="J7" i="37"/>
  <c r="N6" i="37"/>
  <c r="R6" i="37"/>
  <c r="I6" i="37"/>
  <c r="P6" i="37"/>
  <c r="O6" i="37"/>
  <c r="O52" i="37" s="1"/>
  <c r="L6" i="37"/>
  <c r="K6" i="37"/>
  <c r="J6" i="37"/>
  <c r="H11" i="37"/>
  <c r="Q8" i="37" l="1"/>
  <c r="N52" i="37"/>
  <c r="G20" i="40"/>
  <c r="G15" i="40"/>
  <c r="G19" i="40"/>
  <c r="G18" i="40"/>
  <c r="G17" i="40"/>
  <c r="G16" i="40"/>
  <c r="G21" i="40"/>
  <c r="I27" i="40"/>
  <c r="I26" i="40"/>
  <c r="I48" i="37"/>
  <c r="Q48" i="37" s="1"/>
  <c r="L24" i="40"/>
  <c r="L23" i="40"/>
  <c r="N25" i="40"/>
  <c r="E22" i="72" s="1"/>
  <c r="Q47" i="37"/>
  <c r="I23" i="40"/>
  <c r="I24" i="40"/>
  <c r="I18" i="35"/>
  <c r="I20" i="40"/>
  <c r="I19" i="40"/>
  <c r="I18" i="40"/>
  <c r="I17" i="40"/>
  <c r="I15" i="40"/>
  <c r="I16" i="40"/>
  <c r="I21" i="40"/>
  <c r="H89" i="40"/>
  <c r="I20" i="38"/>
  <c r="I19" i="38"/>
  <c r="I18" i="38"/>
  <c r="I17" i="38"/>
  <c r="I15" i="38"/>
  <c r="I16" i="38"/>
  <c r="I21" i="38"/>
  <c r="I24" i="38"/>
  <c r="I23" i="38"/>
  <c r="K43" i="38"/>
  <c r="L74" i="38" s="1"/>
  <c r="P52" i="37"/>
  <c r="L30" i="7"/>
  <c r="L33" i="7" s="1"/>
  <c r="L49" i="7"/>
  <c r="I30" i="7"/>
  <c r="I33" i="7" s="1"/>
  <c r="I36" i="7"/>
  <c r="G49" i="7"/>
  <c r="G30" i="7"/>
  <c r="G33" i="7" s="1"/>
  <c r="E49" i="7"/>
  <c r="E30" i="7"/>
  <c r="E33" i="7" s="1"/>
  <c r="P54" i="37"/>
  <c r="E51" i="72"/>
  <c r="K53" i="37"/>
  <c r="L53" i="37"/>
  <c r="P53" i="37"/>
  <c r="J54" i="37"/>
  <c r="K52" i="37"/>
  <c r="K54" i="37"/>
  <c r="L52" i="37"/>
  <c r="L54" i="37"/>
  <c r="I37" i="37"/>
  <c r="S32" i="37"/>
  <c r="J52" i="37"/>
  <c r="Q7" i="37"/>
  <c r="S7" i="37" s="1"/>
  <c r="Q6" i="37"/>
  <c r="E56" i="72" l="1"/>
  <c r="D45" i="72"/>
  <c r="D11" i="72"/>
  <c r="I51" i="37"/>
  <c r="S6" i="37"/>
  <c r="K95" i="38"/>
  <c r="L45" i="38"/>
  <c r="L53" i="38"/>
  <c r="L61" i="38"/>
  <c r="L69" i="38"/>
  <c r="L77" i="38"/>
  <c r="L85" i="38"/>
  <c r="L93" i="38"/>
  <c r="L46" i="38"/>
  <c r="L54" i="38"/>
  <c r="L62" i="38"/>
  <c r="L70" i="38"/>
  <c r="L78" i="38"/>
  <c r="L86" i="38"/>
  <c r="L94" i="38"/>
  <c r="L47" i="38"/>
  <c r="L55" i="38"/>
  <c r="L63" i="38"/>
  <c r="L71" i="38"/>
  <c r="L79" i="38"/>
  <c r="L87" i="38"/>
  <c r="L48" i="38"/>
  <c r="L56" i="38"/>
  <c r="L64" i="38"/>
  <c r="L72" i="38"/>
  <c r="L80" i="38"/>
  <c r="L88" i="38"/>
  <c r="L49" i="38"/>
  <c r="L57" i="38"/>
  <c r="L65" i="38"/>
  <c r="L73" i="38"/>
  <c r="L81" i="38"/>
  <c r="L89" i="38"/>
  <c r="L50" i="38"/>
  <c r="L58" i="38"/>
  <c r="L66" i="38"/>
  <c r="L82" i="38"/>
  <c r="L90" i="38"/>
  <c r="L51" i="38"/>
  <c r="L59" i="38"/>
  <c r="L67" i="38"/>
  <c r="L75" i="38"/>
  <c r="L83" i="38"/>
  <c r="L91" i="38"/>
  <c r="L52" i="38"/>
  <c r="L60" i="38"/>
  <c r="L68" i="38"/>
  <c r="L76" i="38"/>
  <c r="L84" i="38"/>
  <c r="L92" i="38"/>
  <c r="G51" i="72"/>
  <c r="H51" i="72"/>
  <c r="E57" i="72"/>
  <c r="S20" i="43" l="1"/>
  <c r="R20" i="43"/>
  <c r="Q20" i="43"/>
  <c r="P20" i="43"/>
  <c r="O20" i="43"/>
  <c r="N20" i="43"/>
  <c r="M20" i="43"/>
  <c r="L20" i="43"/>
  <c r="P19" i="43"/>
  <c r="N19" i="43"/>
  <c r="M19" i="43"/>
  <c r="L19" i="43"/>
  <c r="U19" i="43" s="1"/>
  <c r="U18" i="43"/>
  <c r="S17" i="43"/>
  <c r="R17" i="43"/>
  <c r="Q17" i="43"/>
  <c r="P17" i="43"/>
  <c r="O17" i="43"/>
  <c r="N17" i="43"/>
  <c r="M17" i="43"/>
  <c r="L17" i="43"/>
  <c r="K17" i="43"/>
  <c r="T16" i="43"/>
  <c r="S16" i="43"/>
  <c r="R16" i="43"/>
  <c r="Q16" i="43"/>
  <c r="P16" i="43"/>
  <c r="O16" i="43"/>
  <c r="N16" i="43"/>
  <c r="M16" i="43"/>
  <c r="L16" i="43"/>
  <c r="U16" i="43" s="1"/>
  <c r="U15" i="43"/>
  <c r="U14" i="43"/>
  <c r="U13" i="43"/>
  <c r="U12" i="43"/>
  <c r="U10" i="43"/>
  <c r="U9" i="43"/>
  <c r="U8" i="43"/>
  <c r="U20" i="43" l="1"/>
  <c r="U21" i="43"/>
  <c r="U17" i="43"/>
  <c r="M87" i="40"/>
  <c r="J87" i="40"/>
  <c r="M86" i="40"/>
  <c r="J86" i="40"/>
  <c r="M85" i="40"/>
  <c r="J85" i="40"/>
  <c r="J84" i="40" s="1"/>
  <c r="M84" i="40"/>
  <c r="L84" i="40"/>
  <c r="K84" i="40"/>
  <c r="I84" i="40"/>
  <c r="H84" i="40"/>
  <c r="G84" i="40"/>
  <c r="F84" i="40"/>
  <c r="E84" i="40"/>
  <c r="E89" i="40" s="1"/>
  <c r="D84" i="40"/>
  <c r="L83" i="40"/>
  <c r="K83" i="40"/>
  <c r="I83" i="40"/>
  <c r="H83" i="40"/>
  <c r="G83" i="40"/>
  <c r="F83" i="40"/>
  <c r="F43" i="40" s="1"/>
  <c r="D83" i="40"/>
  <c r="M82" i="40"/>
  <c r="J82" i="40"/>
  <c r="M81" i="40"/>
  <c r="J81" i="40"/>
  <c r="M80" i="40"/>
  <c r="J80" i="40"/>
  <c r="M79" i="40"/>
  <c r="J79" i="40"/>
  <c r="M78" i="40"/>
  <c r="J78" i="40"/>
  <c r="M77" i="40"/>
  <c r="J77" i="40"/>
  <c r="M76" i="40"/>
  <c r="J76" i="40"/>
  <c r="M75" i="40"/>
  <c r="M83" i="40" s="1"/>
  <c r="J75" i="40"/>
  <c r="M74" i="40"/>
  <c r="J74" i="40"/>
  <c r="M73" i="40"/>
  <c r="J73" i="40"/>
  <c r="L71" i="40"/>
  <c r="L43" i="40" s="1"/>
  <c r="L89" i="40" s="1"/>
  <c r="K71" i="40"/>
  <c r="N71" i="40" s="1"/>
  <c r="I71" i="40"/>
  <c r="I43" i="40" s="1"/>
  <c r="I89" i="40" s="1"/>
  <c r="H71" i="40"/>
  <c r="G71" i="40"/>
  <c r="F71" i="40"/>
  <c r="E43" i="40"/>
  <c r="D71" i="40"/>
  <c r="M70" i="40"/>
  <c r="J70" i="40"/>
  <c r="M69" i="40"/>
  <c r="J69" i="40"/>
  <c r="M68" i="40"/>
  <c r="J68" i="40"/>
  <c r="M67" i="40"/>
  <c r="J67" i="40"/>
  <c r="M66" i="40"/>
  <c r="J66" i="40"/>
  <c r="M65" i="40"/>
  <c r="J65" i="40"/>
  <c r="M64" i="40"/>
  <c r="J64" i="40"/>
  <c r="M63" i="40"/>
  <c r="J63" i="40"/>
  <c r="M62" i="40"/>
  <c r="J62" i="40"/>
  <c r="M61" i="40"/>
  <c r="J61" i="40"/>
  <c r="M60" i="40"/>
  <c r="J60" i="40"/>
  <c r="M59" i="40"/>
  <c r="J59" i="40"/>
  <c r="M58" i="40"/>
  <c r="J58" i="40"/>
  <c r="M57" i="40"/>
  <c r="J57" i="40"/>
  <c r="M56" i="40"/>
  <c r="J56" i="40"/>
  <c r="M55" i="40"/>
  <c r="J55" i="40"/>
  <c r="M54" i="40"/>
  <c r="J54" i="40"/>
  <c r="M53" i="40"/>
  <c r="J53" i="40"/>
  <c r="M52" i="40"/>
  <c r="J52" i="40"/>
  <c r="M51" i="40"/>
  <c r="J51" i="40"/>
  <c r="M50" i="40"/>
  <c r="J50" i="40"/>
  <c r="M49" i="40"/>
  <c r="J49" i="40"/>
  <c r="M48" i="40"/>
  <c r="J48" i="40"/>
  <c r="M47" i="40"/>
  <c r="J47" i="40"/>
  <c r="M46" i="40"/>
  <c r="J46" i="40"/>
  <c r="J71" i="40" s="1"/>
  <c r="M45" i="40"/>
  <c r="M71" i="40" s="1"/>
  <c r="J45" i="40"/>
  <c r="H43" i="40"/>
  <c r="D43" i="40"/>
  <c r="M42" i="40"/>
  <c r="J42" i="40"/>
  <c r="M41" i="40"/>
  <c r="J41" i="40"/>
  <c r="M40" i="40"/>
  <c r="J40" i="40"/>
  <c r="M39" i="40"/>
  <c r="J39" i="40"/>
  <c r="M38" i="40"/>
  <c r="J38" i="40"/>
  <c r="K36" i="40"/>
  <c r="N36" i="40" s="1"/>
  <c r="H36" i="40"/>
  <c r="G36" i="40"/>
  <c r="F36" i="40"/>
  <c r="E36" i="40"/>
  <c r="D36" i="40"/>
  <c r="D89" i="40" s="1"/>
  <c r="J32" i="40"/>
  <c r="J31" i="40"/>
  <c r="K29" i="40"/>
  <c r="N29" i="40" s="1"/>
  <c r="M28" i="40"/>
  <c r="K28" i="40"/>
  <c r="F28" i="40"/>
  <c r="D28" i="40"/>
  <c r="J27" i="40"/>
  <c r="J26" i="40"/>
  <c r="J28" i="40" s="1"/>
  <c r="M25" i="40"/>
  <c r="M29" i="40" s="1"/>
  <c r="F25" i="40"/>
  <c r="D25" i="40"/>
  <c r="J24" i="40"/>
  <c r="J23" i="40"/>
  <c r="J25" i="40" s="1"/>
  <c r="K22" i="40"/>
  <c r="D22" i="40"/>
  <c r="M21" i="40"/>
  <c r="J21" i="40"/>
  <c r="M20" i="40"/>
  <c r="J20" i="40"/>
  <c r="M19" i="40"/>
  <c r="J19" i="40"/>
  <c r="M18" i="40"/>
  <c r="J18" i="40"/>
  <c r="M17" i="40"/>
  <c r="J17" i="40"/>
  <c r="M16" i="40"/>
  <c r="J16" i="40"/>
  <c r="J15" i="40"/>
  <c r="F29" i="40" l="1"/>
  <c r="G23" i="40"/>
  <c r="G24" i="40"/>
  <c r="I46" i="37"/>
  <c r="F89" i="40"/>
  <c r="J89" i="40" s="1"/>
  <c r="D30" i="40"/>
  <c r="E17" i="40"/>
  <c r="E15" i="40"/>
  <c r="E16" i="40"/>
  <c r="E22" i="40"/>
  <c r="E19" i="40"/>
  <c r="E21" i="40"/>
  <c r="E20" i="40"/>
  <c r="E18" i="40"/>
  <c r="F30" i="40"/>
  <c r="R46" i="37" s="1"/>
  <c r="J36" i="40"/>
  <c r="L16" i="40"/>
  <c r="L15" i="40"/>
  <c r="L21" i="40"/>
  <c r="L18" i="40"/>
  <c r="L20" i="40"/>
  <c r="L19" i="40"/>
  <c r="L17" i="40"/>
  <c r="N22" i="40"/>
  <c r="D22" i="72" s="1"/>
  <c r="K89" i="40"/>
  <c r="E27" i="40"/>
  <c r="E26" i="40"/>
  <c r="E28" i="40"/>
  <c r="G27" i="40"/>
  <c r="G26" i="40"/>
  <c r="H46" i="37"/>
  <c r="J83" i="40"/>
  <c r="G89" i="40"/>
  <c r="K43" i="40"/>
  <c r="N43" i="40" s="1"/>
  <c r="N83" i="40"/>
  <c r="M36" i="40"/>
  <c r="J22" i="40"/>
  <c r="J30" i="40" s="1"/>
  <c r="J33" i="40" s="1"/>
  <c r="L26" i="40"/>
  <c r="L27" i="40"/>
  <c r="N28" i="40"/>
  <c r="H48" i="37"/>
  <c r="M22" i="40"/>
  <c r="M30" i="40" s="1"/>
  <c r="M33" i="40" s="1"/>
  <c r="D29" i="40"/>
  <c r="E24" i="40"/>
  <c r="E23" i="40"/>
  <c r="E25" i="40"/>
  <c r="G43" i="40"/>
  <c r="N84" i="40"/>
  <c r="H33" i="40"/>
  <c r="R47" i="37"/>
  <c r="F33" i="40"/>
  <c r="G22" i="40" s="1"/>
  <c r="M43" i="40"/>
  <c r="J43" i="40"/>
  <c r="J29" i="40"/>
  <c r="K30" i="40"/>
  <c r="G28" i="40" l="1"/>
  <c r="R48" i="37"/>
  <c r="N30" i="40"/>
  <c r="N89" i="40"/>
  <c r="H45" i="72" s="1"/>
  <c r="M89" i="40"/>
  <c r="E33" i="40"/>
  <c r="G25" i="40"/>
  <c r="I22" i="40"/>
  <c r="I28" i="40"/>
  <c r="I25" i="40"/>
  <c r="E29" i="40"/>
  <c r="E30" i="40"/>
  <c r="K33" i="40"/>
  <c r="N33" i="40" l="1"/>
  <c r="L25" i="40"/>
  <c r="L28" i="40"/>
  <c r="L22" i="40"/>
  <c r="L33" i="40" s="1"/>
  <c r="I29" i="40"/>
  <c r="I30" i="40"/>
  <c r="G30" i="40"/>
  <c r="G29" i="40"/>
  <c r="I33" i="40"/>
  <c r="G33" i="40"/>
  <c r="O18" i="17"/>
  <c r="O16" i="17"/>
  <c r="N13" i="17"/>
  <c r="P13" i="17" s="1"/>
  <c r="M13" i="17"/>
  <c r="J13" i="17"/>
  <c r="O12" i="17"/>
  <c r="L12" i="17"/>
  <c r="M12" i="17" s="1"/>
  <c r="J12" i="17"/>
  <c r="P11" i="17"/>
  <c r="M11" i="17"/>
  <c r="J11" i="17"/>
  <c r="S17" i="11"/>
  <c r="O17" i="11"/>
  <c r="N17" i="11"/>
  <c r="M17" i="11"/>
  <c r="S16" i="11"/>
  <c r="R16" i="11"/>
  <c r="Q16" i="11"/>
  <c r="P16" i="11"/>
  <c r="O16" i="11"/>
  <c r="N16" i="11"/>
  <c r="M16" i="11"/>
  <c r="T15" i="11"/>
  <c r="T14" i="11"/>
  <c r="T13" i="11"/>
  <c r="T12" i="11"/>
  <c r="T11" i="11"/>
  <c r="T10" i="11"/>
  <c r="T9" i="11"/>
  <c r="T8" i="11"/>
  <c r="K50" i="41"/>
  <c r="F43" i="41"/>
  <c r="D43" i="41"/>
  <c r="H42" i="41"/>
  <c r="M42" i="41" s="1"/>
  <c r="K41" i="41"/>
  <c r="K43" i="41" s="1"/>
  <c r="F39" i="41"/>
  <c r="D39" i="41"/>
  <c r="F36" i="41"/>
  <c r="D36" i="41"/>
  <c r="K31" i="41"/>
  <c r="K49" i="41" s="1"/>
  <c r="K25" i="41"/>
  <c r="H25" i="41"/>
  <c r="N24" i="41"/>
  <c r="M24" i="41"/>
  <c r="L24" i="41"/>
  <c r="J24" i="41"/>
  <c r="J25" i="41" s="1"/>
  <c r="J29" i="41" s="1"/>
  <c r="I24" i="41"/>
  <c r="M23" i="41"/>
  <c r="K22" i="41"/>
  <c r="N21" i="41"/>
  <c r="M21" i="41"/>
  <c r="L21" i="41"/>
  <c r="J21" i="41"/>
  <c r="I21" i="41"/>
  <c r="M20" i="41"/>
  <c r="J20" i="41"/>
  <c r="M19" i="41"/>
  <c r="J19" i="41"/>
  <c r="M18" i="41"/>
  <c r="J18" i="41"/>
  <c r="N17" i="41"/>
  <c r="M17" i="41"/>
  <c r="L17" i="41"/>
  <c r="J17" i="41"/>
  <c r="I17" i="41"/>
  <c r="N16" i="41"/>
  <c r="M16" i="41"/>
  <c r="L16" i="41"/>
  <c r="J16" i="41"/>
  <c r="I16" i="41"/>
  <c r="H15" i="41"/>
  <c r="J26" i="37" s="1"/>
  <c r="J53" i="37" s="1"/>
  <c r="L29" i="40" l="1"/>
  <c r="L30" i="40"/>
  <c r="S13" i="17"/>
  <c r="S11" i="17"/>
  <c r="T17" i="11"/>
  <c r="T16" i="11"/>
  <c r="N42" i="41"/>
  <c r="I15" i="41"/>
  <c r="J15" i="41"/>
  <c r="J22" i="41" s="1"/>
  <c r="L15" i="41"/>
  <c r="H22" i="41"/>
  <c r="H29" i="41"/>
  <c r="L29" i="41" s="1"/>
  <c r="I26" i="37"/>
  <c r="I53" i="37" s="1"/>
  <c r="M15" i="41"/>
  <c r="I25" i="41"/>
  <c r="N15" i="41"/>
  <c r="K29" i="41"/>
  <c r="K30" i="41"/>
  <c r="M25" i="41"/>
  <c r="M29" i="41" s="1"/>
  <c r="L25" i="41"/>
  <c r="I27" i="37"/>
  <c r="Q27" i="37" s="1"/>
  <c r="M22" i="41"/>
  <c r="M36" i="41" s="1"/>
  <c r="M38" i="41" s="1"/>
  <c r="K33" i="41"/>
  <c r="R27" i="37"/>
  <c r="N12" i="17"/>
  <c r="Q13" i="17"/>
  <c r="R11" i="17"/>
  <c r="R13" i="17"/>
  <c r="Q11" i="17"/>
  <c r="P12" i="17"/>
  <c r="M39" i="41"/>
  <c r="K39" i="41"/>
  <c r="K47" i="41"/>
  <c r="K46" i="41" s="1"/>
  <c r="I22" i="41"/>
  <c r="K36" i="41"/>
  <c r="N25" i="41"/>
  <c r="E19" i="72" s="1"/>
  <c r="I42" i="41"/>
  <c r="H41" i="41"/>
  <c r="L41" i="41" s="1"/>
  <c r="L42" i="41"/>
  <c r="J30" i="41" l="1"/>
  <c r="J54" i="41" s="1"/>
  <c r="J36" i="41"/>
  <c r="J38" i="41" s="1"/>
  <c r="H39" i="41"/>
  <c r="I39" i="41" s="1"/>
  <c r="I29" i="41"/>
  <c r="K54" i="41"/>
  <c r="H30" i="41"/>
  <c r="H36" i="41"/>
  <c r="L36" i="41" s="1"/>
  <c r="N29" i="41"/>
  <c r="L22" i="41"/>
  <c r="N22" i="41"/>
  <c r="D19" i="72" s="1"/>
  <c r="M30" i="41"/>
  <c r="M54" i="41" s="1"/>
  <c r="S27" i="37"/>
  <c r="S12" i="17"/>
  <c r="R12" i="17"/>
  <c r="Q12" i="17"/>
  <c r="I41" i="41"/>
  <c r="H43" i="41"/>
  <c r="M41" i="41"/>
  <c r="M43" i="41" s="1"/>
  <c r="N39" i="41"/>
  <c r="L39" i="41"/>
  <c r="N41" i="41"/>
  <c r="K38" i="41"/>
  <c r="U15" i="13"/>
  <c r="U14" i="13"/>
  <c r="U11" i="13"/>
  <c r="H38" i="41" l="1"/>
  <c r="I38" i="41" s="1"/>
  <c r="I36" i="41"/>
  <c r="N36" i="41"/>
  <c r="R26" i="37"/>
  <c r="N30" i="41"/>
  <c r="F19" i="72" s="1"/>
  <c r="I30" i="41"/>
  <c r="I54" i="41" s="1"/>
  <c r="H54" i="41"/>
  <c r="L30" i="41"/>
  <c r="L54" i="41" s="1"/>
  <c r="U19" i="13"/>
  <c r="U18" i="13"/>
  <c r="U21" i="13" s="1"/>
  <c r="I43" i="41"/>
  <c r="L43" i="41"/>
  <c r="N43" i="41"/>
  <c r="U13" i="13"/>
  <c r="U16" i="13"/>
  <c r="U20" i="13" s="1"/>
  <c r="U10" i="13"/>
  <c r="U12" i="13"/>
  <c r="U9" i="13"/>
  <c r="N38" i="41" l="1"/>
  <c r="L38" i="41"/>
  <c r="M102" i="38"/>
  <c r="M101" i="38"/>
  <c r="N100" i="38"/>
  <c r="E100" i="38"/>
  <c r="D100" i="38"/>
  <c r="M99" i="38"/>
  <c r="N97" i="38"/>
  <c r="M96" i="38"/>
  <c r="N94" i="38"/>
  <c r="M94" i="38"/>
  <c r="J94" i="38"/>
  <c r="N93" i="38"/>
  <c r="M93" i="38"/>
  <c r="J93" i="38"/>
  <c r="N92" i="38"/>
  <c r="M92" i="38"/>
  <c r="J92" i="38"/>
  <c r="N91" i="38"/>
  <c r="M91" i="38"/>
  <c r="J91" i="38"/>
  <c r="N90" i="38"/>
  <c r="M90" i="38"/>
  <c r="J90" i="38"/>
  <c r="N89" i="38"/>
  <c r="M89" i="38"/>
  <c r="J89" i="38"/>
  <c r="N88" i="38"/>
  <c r="M88" i="38"/>
  <c r="J88" i="38"/>
  <c r="N87" i="38"/>
  <c r="M87" i="38"/>
  <c r="J87" i="38"/>
  <c r="N86" i="38"/>
  <c r="M86" i="38"/>
  <c r="J86" i="38"/>
  <c r="N85" i="38"/>
  <c r="M85" i="38"/>
  <c r="J85" i="38"/>
  <c r="N84" i="38"/>
  <c r="M84" i="38"/>
  <c r="J84" i="38"/>
  <c r="N83" i="38"/>
  <c r="M83" i="38"/>
  <c r="J83" i="38"/>
  <c r="N82" i="38"/>
  <c r="M82" i="38"/>
  <c r="J82" i="38"/>
  <c r="N81" i="38"/>
  <c r="M81" i="38"/>
  <c r="J81" i="38"/>
  <c r="N80" i="38"/>
  <c r="M80" i="38"/>
  <c r="J80" i="38"/>
  <c r="N79" i="38"/>
  <c r="M79" i="38"/>
  <c r="J79" i="38"/>
  <c r="N78" i="38"/>
  <c r="M78" i="38"/>
  <c r="J78" i="38"/>
  <c r="N77" i="38"/>
  <c r="M77" i="38"/>
  <c r="J77" i="38"/>
  <c r="N76" i="38"/>
  <c r="M76" i="38"/>
  <c r="J76" i="38"/>
  <c r="N75" i="38"/>
  <c r="M75" i="38"/>
  <c r="J75" i="38"/>
  <c r="N74" i="38"/>
  <c r="M74" i="38"/>
  <c r="J74" i="38"/>
  <c r="N73" i="38"/>
  <c r="M73" i="38"/>
  <c r="J73" i="38"/>
  <c r="N72" i="38"/>
  <c r="M72" i="38"/>
  <c r="J72" i="38"/>
  <c r="N71" i="38"/>
  <c r="M71" i="38"/>
  <c r="J71" i="38"/>
  <c r="N70" i="38"/>
  <c r="M70" i="38"/>
  <c r="J70" i="38"/>
  <c r="N69" i="38"/>
  <c r="M69" i="38"/>
  <c r="J69" i="38"/>
  <c r="N68" i="38"/>
  <c r="M68" i="38"/>
  <c r="J68" i="38"/>
  <c r="N67" i="38"/>
  <c r="M67" i="38"/>
  <c r="J67" i="38"/>
  <c r="N66" i="38"/>
  <c r="M66" i="38"/>
  <c r="J66" i="38"/>
  <c r="N65" i="38"/>
  <c r="M65" i="38"/>
  <c r="J65" i="38"/>
  <c r="N64" i="38"/>
  <c r="M64" i="38"/>
  <c r="J64" i="38"/>
  <c r="N63" i="38"/>
  <c r="M63" i="38"/>
  <c r="J63" i="38"/>
  <c r="N62" i="38"/>
  <c r="M62" i="38"/>
  <c r="J62" i="38"/>
  <c r="N61" i="38"/>
  <c r="M61" i="38"/>
  <c r="J61" i="38"/>
  <c r="N60" i="38"/>
  <c r="M60" i="38"/>
  <c r="J60" i="38"/>
  <c r="N59" i="38"/>
  <c r="M59" i="38"/>
  <c r="J59" i="38"/>
  <c r="N58" i="38"/>
  <c r="M58" i="38"/>
  <c r="J58" i="38"/>
  <c r="N57" i="38"/>
  <c r="M57" i="38"/>
  <c r="J57" i="38"/>
  <c r="N56" i="38"/>
  <c r="M56" i="38"/>
  <c r="J56" i="38"/>
  <c r="N55" i="38"/>
  <c r="M55" i="38"/>
  <c r="J55" i="38"/>
  <c r="N54" i="38"/>
  <c r="M54" i="38"/>
  <c r="J54" i="38"/>
  <c r="N53" i="38"/>
  <c r="M53" i="38"/>
  <c r="J53" i="38"/>
  <c r="N52" i="38"/>
  <c r="M52" i="38"/>
  <c r="J52" i="38"/>
  <c r="N51" i="38"/>
  <c r="M51" i="38"/>
  <c r="J51" i="38"/>
  <c r="N50" i="38"/>
  <c r="M50" i="38"/>
  <c r="J50" i="38"/>
  <c r="N49" i="38"/>
  <c r="M49" i="38"/>
  <c r="J49" i="38"/>
  <c r="N48" i="38"/>
  <c r="M48" i="38"/>
  <c r="J48" i="38"/>
  <c r="N47" i="38"/>
  <c r="M47" i="38"/>
  <c r="J47" i="38"/>
  <c r="N46" i="38"/>
  <c r="M46" i="38"/>
  <c r="J46" i="38"/>
  <c r="N45" i="38"/>
  <c r="M45" i="38"/>
  <c r="J45" i="38"/>
  <c r="H43" i="38"/>
  <c r="F43" i="38"/>
  <c r="D43" i="38"/>
  <c r="N42" i="38"/>
  <c r="M42" i="38"/>
  <c r="J42" i="38"/>
  <c r="N41" i="38"/>
  <c r="M41" i="38"/>
  <c r="J41" i="38"/>
  <c r="N40" i="38"/>
  <c r="M40" i="38"/>
  <c r="J40" i="38"/>
  <c r="N39" i="38"/>
  <c r="M39" i="38"/>
  <c r="J39" i="38"/>
  <c r="M38" i="38"/>
  <c r="J38" i="38"/>
  <c r="K36" i="38"/>
  <c r="K106" i="38" s="1"/>
  <c r="F36" i="38"/>
  <c r="D36" i="38"/>
  <c r="M32" i="38"/>
  <c r="M31" i="38"/>
  <c r="K28" i="38"/>
  <c r="H15" i="37" s="1"/>
  <c r="H54" i="37" s="1"/>
  <c r="F28" i="38"/>
  <c r="H13" i="37" s="1"/>
  <c r="H52" i="37" s="1"/>
  <c r="D28" i="38"/>
  <c r="H28" i="38"/>
  <c r="M26" i="38"/>
  <c r="J26" i="38"/>
  <c r="K25" i="38"/>
  <c r="F25" i="38"/>
  <c r="M24" i="38"/>
  <c r="M23" i="38"/>
  <c r="K22" i="38"/>
  <c r="F22" i="38"/>
  <c r="D22" i="38"/>
  <c r="M21" i="38"/>
  <c r="J21" i="38"/>
  <c r="M20" i="38"/>
  <c r="J20" i="38"/>
  <c r="M19" i="38"/>
  <c r="J19" i="38"/>
  <c r="M18" i="38"/>
  <c r="J18" i="38"/>
  <c r="M17" i="38"/>
  <c r="J17" i="38"/>
  <c r="M16" i="38"/>
  <c r="J16" i="38"/>
  <c r="L38" i="38" l="1"/>
  <c r="L39" i="38"/>
  <c r="L40" i="38"/>
  <c r="L41" i="38"/>
  <c r="L42" i="38"/>
  <c r="G87" i="38"/>
  <c r="G79" i="38"/>
  <c r="G71" i="38"/>
  <c r="G63" i="38"/>
  <c r="G55" i="38"/>
  <c r="G47" i="38"/>
  <c r="G94" i="38"/>
  <c r="G86" i="38"/>
  <c r="G78" i="38"/>
  <c r="G70" i="38"/>
  <c r="G62" i="38"/>
  <c r="G54" i="38"/>
  <c r="G46" i="38"/>
  <c r="G93" i="38"/>
  <c r="G85" i="38"/>
  <c r="G77" i="38"/>
  <c r="G69" i="38"/>
  <c r="G61" i="38"/>
  <c r="G53" i="38"/>
  <c r="G45" i="38"/>
  <c r="G92" i="38"/>
  <c r="G84" i="38"/>
  <c r="G76" i="38"/>
  <c r="G68" i="38"/>
  <c r="G60" i="38"/>
  <c r="G52" i="38"/>
  <c r="G91" i="38"/>
  <c r="G83" i="38"/>
  <c r="G75" i="38"/>
  <c r="G67" i="38"/>
  <c r="G59" i="38"/>
  <c r="G51" i="38"/>
  <c r="G90" i="38"/>
  <c r="G82" i="38"/>
  <c r="G74" i="38"/>
  <c r="G66" i="38"/>
  <c r="G58" i="38"/>
  <c r="G50" i="38"/>
  <c r="G89" i="38"/>
  <c r="G81" i="38"/>
  <c r="G73" i="38"/>
  <c r="G65" i="38"/>
  <c r="G57" i="38"/>
  <c r="G49" i="38"/>
  <c r="G88" i="38"/>
  <c r="G80" i="38"/>
  <c r="G72" i="38"/>
  <c r="G64" i="38"/>
  <c r="G56" i="38"/>
  <c r="G48" i="38"/>
  <c r="I46" i="38"/>
  <c r="I54" i="38"/>
  <c r="I62" i="38"/>
  <c r="I70" i="38"/>
  <c r="I78" i="38"/>
  <c r="I86" i="38"/>
  <c r="I94" i="38"/>
  <c r="I47" i="38"/>
  <c r="I55" i="38"/>
  <c r="I63" i="38"/>
  <c r="I71" i="38"/>
  <c r="I79" i="38"/>
  <c r="I87" i="38"/>
  <c r="I48" i="38"/>
  <c r="I56" i="38"/>
  <c r="I64" i="38"/>
  <c r="I72" i="38"/>
  <c r="I80" i="38"/>
  <c r="I88" i="38"/>
  <c r="I49" i="38"/>
  <c r="I57" i="38"/>
  <c r="I65" i="38"/>
  <c r="I73" i="38"/>
  <c r="I81" i="38"/>
  <c r="I89" i="38"/>
  <c r="I50" i="38"/>
  <c r="I58" i="38"/>
  <c r="I66" i="38"/>
  <c r="I74" i="38"/>
  <c r="I82" i="38"/>
  <c r="I90" i="38"/>
  <c r="I51" i="38"/>
  <c r="I59" i="38"/>
  <c r="I67" i="38"/>
  <c r="I75" i="38"/>
  <c r="I83" i="38"/>
  <c r="I91" i="38"/>
  <c r="I52" i="38"/>
  <c r="I60" i="38"/>
  <c r="I68" i="38"/>
  <c r="I76" i="38"/>
  <c r="I84" i="38"/>
  <c r="I92" i="38"/>
  <c r="I45" i="38"/>
  <c r="I53" i="38"/>
  <c r="I61" i="38"/>
  <c r="I69" i="38"/>
  <c r="I77" i="38"/>
  <c r="I85" i="38"/>
  <c r="I93" i="38"/>
  <c r="I13" i="37"/>
  <c r="I52" i="37" s="1"/>
  <c r="G23" i="38"/>
  <c r="F29" i="38"/>
  <c r="G26" i="38" s="1"/>
  <c r="N25" i="38"/>
  <c r="E17" i="72" s="1"/>
  <c r="L24" i="38"/>
  <c r="L23" i="38"/>
  <c r="E42" i="38"/>
  <c r="E41" i="38"/>
  <c r="E40" i="38"/>
  <c r="E39" i="38"/>
  <c r="E38" i="38"/>
  <c r="E19" i="38"/>
  <c r="E18" i="38"/>
  <c r="E17" i="38"/>
  <c r="E16" i="38"/>
  <c r="E21" i="38"/>
  <c r="E15" i="38"/>
  <c r="E20" i="38"/>
  <c r="G42" i="38"/>
  <c r="G41" i="38"/>
  <c r="G40" i="38"/>
  <c r="G39" i="38"/>
  <c r="G38" i="38"/>
  <c r="D95" i="38"/>
  <c r="E91" i="38"/>
  <c r="E83" i="38"/>
  <c r="E75" i="38"/>
  <c r="E67" i="38"/>
  <c r="E59" i="38"/>
  <c r="E51" i="38"/>
  <c r="E90" i="38"/>
  <c r="E82" i="38"/>
  <c r="E74" i="38"/>
  <c r="E66" i="38"/>
  <c r="E58" i="38"/>
  <c r="E50" i="38"/>
  <c r="E89" i="38"/>
  <c r="E81" i="38"/>
  <c r="E73" i="38"/>
  <c r="E65" i="38"/>
  <c r="E57" i="38"/>
  <c r="E49" i="38"/>
  <c r="E88" i="38"/>
  <c r="E80" i="38"/>
  <c r="E72" i="38"/>
  <c r="E64" i="38"/>
  <c r="E56" i="38"/>
  <c r="E48" i="38"/>
  <c r="E87" i="38"/>
  <c r="E79" i="38"/>
  <c r="E71" i="38"/>
  <c r="E63" i="38"/>
  <c r="E55" i="38"/>
  <c r="E47" i="38"/>
  <c r="E94" i="38"/>
  <c r="E86" i="38"/>
  <c r="E78" i="38"/>
  <c r="E70" i="38"/>
  <c r="E62" i="38"/>
  <c r="E54" i="38"/>
  <c r="E46" i="38"/>
  <c r="E93" i="38"/>
  <c r="E85" i="38"/>
  <c r="E77" i="38"/>
  <c r="E69" i="38"/>
  <c r="E61" i="38"/>
  <c r="E53" i="38"/>
  <c r="E45" i="38"/>
  <c r="E92" i="38"/>
  <c r="E84" i="38"/>
  <c r="E76" i="38"/>
  <c r="E68" i="38"/>
  <c r="E60" i="38"/>
  <c r="E52" i="38"/>
  <c r="G16" i="38"/>
  <c r="G15" i="38"/>
  <c r="G21" i="38"/>
  <c r="G20" i="38"/>
  <c r="G19" i="38"/>
  <c r="G18" i="38"/>
  <c r="G17" i="38"/>
  <c r="N22" i="38"/>
  <c r="D17" i="72" s="1"/>
  <c r="L21" i="38"/>
  <c r="L20" i="38"/>
  <c r="L19" i="38"/>
  <c r="L18" i="38"/>
  <c r="L17" i="38"/>
  <c r="L16" i="38"/>
  <c r="L15" i="38"/>
  <c r="N43" i="38"/>
  <c r="N95" i="38" s="1"/>
  <c r="M22" i="38"/>
  <c r="N36" i="38"/>
  <c r="M100" i="38"/>
  <c r="J22" i="38"/>
  <c r="J98" i="38"/>
  <c r="J100" i="38" s="1"/>
  <c r="M36" i="38"/>
  <c r="M25" i="38"/>
  <c r="Q13" i="37"/>
  <c r="F30" i="38"/>
  <c r="M98" i="38"/>
  <c r="H14" i="37"/>
  <c r="H53" i="37" s="1"/>
  <c r="H29" i="38"/>
  <c r="J43" i="38"/>
  <c r="J95" i="38" s="1"/>
  <c r="D29" i="38"/>
  <c r="M43" i="38"/>
  <c r="M95" i="38" s="1"/>
  <c r="M106" i="38" s="1"/>
  <c r="K29" i="38"/>
  <c r="L26" i="38" s="1"/>
  <c r="I15" i="37"/>
  <c r="I54" i="37" s="1"/>
  <c r="J36" i="38"/>
  <c r="M27" i="38"/>
  <c r="M28" i="38" s="1"/>
  <c r="M29" i="38" s="1"/>
  <c r="J27" i="38"/>
  <c r="J28" i="38" s="1"/>
  <c r="F95" i="38"/>
  <c r="F106" i="38" s="1"/>
  <c r="H95" i="38"/>
  <c r="M30" i="38" l="1"/>
  <c r="M33" i="38" s="1"/>
  <c r="D30" i="38"/>
  <c r="E26" i="38"/>
  <c r="E29" i="38"/>
  <c r="J106" i="38"/>
  <c r="D106" i="38"/>
  <c r="E95" i="38"/>
  <c r="N106" i="38"/>
  <c r="L95" i="38"/>
  <c r="H106" i="38"/>
  <c r="I13" i="35" s="1"/>
  <c r="H30" i="38"/>
  <c r="I29" i="38"/>
  <c r="I26" i="38"/>
  <c r="F33" i="38"/>
  <c r="R13" i="37" s="1"/>
  <c r="S13" i="37" s="1"/>
  <c r="G28" i="38"/>
  <c r="G25" i="38"/>
  <c r="G29" i="38"/>
  <c r="G22" i="38"/>
  <c r="G36" i="38"/>
  <c r="G43" i="38"/>
  <c r="G95" i="38"/>
  <c r="L43" i="38"/>
  <c r="L36" i="38"/>
  <c r="K30" i="38"/>
  <c r="N29" i="38"/>
  <c r="Q14" i="37"/>
  <c r="I95" i="38" l="1"/>
  <c r="D40" i="72"/>
  <c r="D6" i="72"/>
  <c r="E36" i="38"/>
  <c r="E43" i="38"/>
  <c r="I36" i="38"/>
  <c r="I43" i="38"/>
  <c r="H33" i="38"/>
  <c r="R14" i="37" s="1"/>
  <c r="S14" i="37" s="1"/>
  <c r="I27" i="38"/>
  <c r="I22" i="38"/>
  <c r="I25" i="38"/>
  <c r="I28" i="38"/>
  <c r="D33" i="38"/>
  <c r="E27" i="38"/>
  <c r="E25" i="38"/>
  <c r="E28" i="38"/>
  <c r="E22" i="38"/>
  <c r="G106" i="38"/>
  <c r="G30" i="38"/>
  <c r="G33" i="38" s="1"/>
  <c r="L27" i="38"/>
  <c r="L28" i="38"/>
  <c r="L25" i="38"/>
  <c r="L29" i="38"/>
  <c r="L22" i="38"/>
  <c r="K33" i="38"/>
  <c r="N30" i="38"/>
  <c r="F17" i="72" s="1"/>
  <c r="I30" i="38" l="1"/>
  <c r="I106" i="38"/>
  <c r="I33" i="38"/>
  <c r="E106" i="38"/>
  <c r="E33" i="38"/>
  <c r="E30" i="38"/>
  <c r="J23" i="38"/>
  <c r="J24" i="38"/>
  <c r="L33" i="38"/>
  <c r="L106" i="38"/>
  <c r="L30" i="38"/>
  <c r="R15" i="37"/>
  <c r="N33" i="38"/>
  <c r="J25" i="38" l="1"/>
  <c r="F51" i="72"/>
  <c r="J29" i="38"/>
  <c r="J30" i="38" s="1"/>
  <c r="J33" i="38" s="1"/>
  <c r="T15" i="12" l="1"/>
  <c r="P12" i="12"/>
  <c r="T12" i="12" s="1"/>
  <c r="T11" i="12"/>
  <c r="P9" i="12"/>
  <c r="P10" i="12" s="1"/>
  <c r="T10" i="12" s="1"/>
  <c r="T8" i="12"/>
  <c r="L47" i="5"/>
  <c r="G47" i="5"/>
  <c r="F47" i="5"/>
  <c r="E47" i="5"/>
  <c r="D47" i="5"/>
  <c r="H42" i="5"/>
  <c r="K42" i="5" s="1"/>
  <c r="N42" i="5" s="1"/>
  <c r="H41" i="5"/>
  <c r="H40" i="5"/>
  <c r="J40" i="5" s="1"/>
  <c r="H39" i="5"/>
  <c r="K39" i="5" s="1"/>
  <c r="H38" i="5"/>
  <c r="K38" i="5" s="1"/>
  <c r="J37" i="5"/>
  <c r="K32" i="5"/>
  <c r="K31" i="5"/>
  <c r="M31" i="5" s="1"/>
  <c r="K29" i="5"/>
  <c r="N29" i="5" s="1"/>
  <c r="J29" i="5"/>
  <c r="K28" i="5"/>
  <c r="N28" i="5" s="1"/>
  <c r="J28" i="5"/>
  <c r="K27" i="5"/>
  <c r="M27" i="5" s="1"/>
  <c r="J27" i="5"/>
  <c r="K26" i="5"/>
  <c r="N26" i="5" s="1"/>
  <c r="J26" i="5"/>
  <c r="K25" i="5"/>
  <c r="M25" i="5" s="1"/>
  <c r="J25" i="5"/>
  <c r="K24" i="5"/>
  <c r="N24" i="5" s="1"/>
  <c r="J24" i="5"/>
  <c r="K23" i="5"/>
  <c r="M23" i="5" s="1"/>
  <c r="J23" i="5"/>
  <c r="K21" i="5"/>
  <c r="N21" i="5" s="1"/>
  <c r="J21" i="5"/>
  <c r="K20" i="5"/>
  <c r="M20" i="5" s="1"/>
  <c r="J20" i="5"/>
  <c r="H19" i="5"/>
  <c r="H22" i="5" s="1"/>
  <c r="N20" i="5" l="1"/>
  <c r="M21" i="5"/>
  <c r="R40" i="37"/>
  <c r="N40" i="37"/>
  <c r="N53" i="37" s="1"/>
  <c r="P13" i="12"/>
  <c r="T13" i="12" s="1"/>
  <c r="T9" i="12"/>
  <c r="K40" i="5"/>
  <c r="N40" i="5" s="1"/>
  <c r="P14" i="12"/>
  <c r="P17" i="12" s="1"/>
  <c r="T17" i="12" s="1"/>
  <c r="J39" i="5"/>
  <c r="N38" i="5"/>
  <c r="N39" i="5"/>
  <c r="M39" i="5"/>
  <c r="M29" i="5"/>
  <c r="I22" i="5"/>
  <c r="N23" i="5"/>
  <c r="N25" i="5"/>
  <c r="N27" i="5"/>
  <c r="J22" i="5"/>
  <c r="H30" i="5"/>
  <c r="J38" i="5"/>
  <c r="J42" i="5"/>
  <c r="H47" i="5"/>
  <c r="J19" i="5"/>
  <c r="M26" i="5"/>
  <c r="H36" i="5"/>
  <c r="I38" i="5" s="1"/>
  <c r="M38" i="5"/>
  <c r="J41" i="5"/>
  <c r="M42" i="5"/>
  <c r="I19" i="5"/>
  <c r="K22" i="5"/>
  <c r="M22" i="5" s="1"/>
  <c r="M24" i="5"/>
  <c r="M28" i="5"/>
  <c r="K19" i="5"/>
  <c r="I40" i="5"/>
  <c r="K41" i="5"/>
  <c r="N41" i="5" s="1"/>
  <c r="N19" i="5" l="1"/>
  <c r="N41" i="37"/>
  <c r="P16" i="12"/>
  <c r="T16" i="12" s="1"/>
  <c r="T14" i="12"/>
  <c r="M40" i="5"/>
  <c r="M47" i="5" s="1"/>
  <c r="M19" i="5"/>
  <c r="I42" i="5"/>
  <c r="K30" i="5"/>
  <c r="J30" i="5"/>
  <c r="J36" i="5"/>
  <c r="I41" i="5"/>
  <c r="I39" i="5"/>
  <c r="I47" i="5" s="1"/>
  <c r="N22" i="5"/>
  <c r="D21" i="72" s="1"/>
  <c r="K33" i="5"/>
  <c r="K47" i="5"/>
  <c r="J47" i="5"/>
  <c r="M41" i="5"/>
  <c r="I30" i="5"/>
  <c r="N30" i="5" l="1"/>
  <c r="F21" i="72" s="1"/>
  <c r="R41" i="37"/>
  <c r="U42" i="37" s="1"/>
  <c r="N44" i="37"/>
  <c r="N54" i="37"/>
  <c r="M30" i="5"/>
  <c r="I36" i="5"/>
  <c r="Z9" i="10" l="1"/>
  <c r="AA9" i="10"/>
  <c r="AB9" i="10"/>
  <c r="Z10" i="10"/>
  <c r="AA10" i="10"/>
  <c r="AB10" i="10"/>
  <c r="Z11" i="10"/>
  <c r="AA11" i="10"/>
  <c r="AB11" i="10"/>
  <c r="Z12" i="10"/>
  <c r="AA12" i="10"/>
  <c r="AB12" i="10"/>
  <c r="Z13" i="10"/>
  <c r="AA13" i="10"/>
  <c r="AB13" i="10"/>
  <c r="Z14" i="10"/>
  <c r="AA14" i="10"/>
  <c r="AB14" i="10"/>
  <c r="Z15" i="10"/>
  <c r="AA15" i="10"/>
  <c r="AB15" i="10"/>
  <c r="Z16" i="10"/>
  <c r="AA16" i="10"/>
  <c r="AB16" i="10"/>
  <c r="AA8" i="10"/>
  <c r="AB8" i="10"/>
  <c r="Z8" i="10"/>
  <c r="E34" i="35" l="1"/>
  <c r="N13" i="35"/>
  <c r="Q10" i="37" l="1"/>
  <c r="F50" i="72" l="1"/>
  <c r="Q12" i="37"/>
  <c r="Q12" i="36"/>
  <c r="J20" i="36"/>
  <c r="K20" i="36"/>
  <c r="L20" i="36"/>
  <c r="M20" i="36"/>
  <c r="N20" i="36"/>
  <c r="O20" i="36"/>
  <c r="P20" i="36"/>
  <c r="I21" i="36"/>
  <c r="J21" i="36"/>
  <c r="K21" i="36"/>
  <c r="L21" i="36"/>
  <c r="L24" i="36" s="1"/>
  <c r="M21" i="36"/>
  <c r="M24" i="36" s="1"/>
  <c r="N21" i="36"/>
  <c r="O21" i="36"/>
  <c r="P21" i="36"/>
  <c r="I22" i="36"/>
  <c r="J22" i="36"/>
  <c r="K22" i="36"/>
  <c r="L22" i="36"/>
  <c r="M22" i="36"/>
  <c r="N22" i="36"/>
  <c r="N25" i="36" s="1"/>
  <c r="O22" i="36"/>
  <c r="O25" i="36" s="1"/>
  <c r="P22" i="36"/>
  <c r="P25" i="36" s="1"/>
  <c r="H21" i="36"/>
  <c r="H22" i="36"/>
  <c r="H25" i="36" s="1"/>
  <c r="Q9" i="36"/>
  <c r="Q15" i="36"/>
  <c r="K36" i="35"/>
  <c r="K35" i="35"/>
  <c r="K32" i="35"/>
  <c r="K30" i="35"/>
  <c r="K24" i="35"/>
  <c r="K25" i="35"/>
  <c r="K26" i="35"/>
  <c r="K27" i="35"/>
  <c r="K28" i="35"/>
  <c r="K29" i="35"/>
  <c r="G33" i="35"/>
  <c r="E38" i="35"/>
  <c r="L34" i="35"/>
  <c r="I34" i="35"/>
  <c r="L31" i="35"/>
  <c r="I31" i="35"/>
  <c r="G31" i="35"/>
  <c r="O24" i="35"/>
  <c r="O30" i="35"/>
  <c r="O29" i="35"/>
  <c r="O28" i="35"/>
  <c r="O27" i="35"/>
  <c r="O26" i="35"/>
  <c r="O25" i="35"/>
  <c r="E31" i="35"/>
  <c r="N14" i="35"/>
  <c r="N15" i="35"/>
  <c r="N16" i="35"/>
  <c r="N17" i="35"/>
  <c r="N18" i="35"/>
  <c r="I19" i="35"/>
  <c r="G19" i="35"/>
  <c r="O12" i="35"/>
  <c r="I39" i="72" s="1"/>
  <c r="H39" i="72" s="1"/>
  <c r="O13" i="35"/>
  <c r="I40" i="72" s="1"/>
  <c r="O14" i="35"/>
  <c r="I41" i="72" s="1"/>
  <c r="H41" i="72" s="1"/>
  <c r="O15" i="35"/>
  <c r="I42" i="72" s="1"/>
  <c r="H42" i="72" s="1"/>
  <c r="O16" i="35"/>
  <c r="I43" i="72" s="1"/>
  <c r="H43" i="72" s="1"/>
  <c r="O17" i="35"/>
  <c r="I44" i="72" s="1"/>
  <c r="H44" i="72" s="1"/>
  <c r="O18" i="35"/>
  <c r="I45" i="72" s="1"/>
  <c r="N24" i="36" l="1"/>
  <c r="K24" i="36"/>
  <c r="J24" i="36"/>
  <c r="H24" i="36"/>
  <c r="I24" i="36"/>
  <c r="P24" i="36"/>
  <c r="O24" i="36"/>
  <c r="I41" i="35"/>
  <c r="O34" i="35"/>
  <c r="G34" i="35"/>
  <c r="G38" i="35" s="1"/>
  <c r="G41" i="35" s="1"/>
  <c r="H15" i="35"/>
  <c r="D31" i="72" s="1"/>
  <c r="D9" i="71"/>
  <c r="E41" i="35"/>
  <c r="F24" i="35" s="1"/>
  <c r="I8" i="36"/>
  <c r="I20" i="36" s="1"/>
  <c r="H16" i="35"/>
  <c r="D32" i="72" s="1"/>
  <c r="M18" i="35"/>
  <c r="F46" i="72"/>
  <c r="E12" i="72"/>
  <c r="J16" i="35"/>
  <c r="E43" i="72" s="1"/>
  <c r="D46" i="72"/>
  <c r="D12" i="72"/>
  <c r="Q22" i="36"/>
  <c r="R54" i="37" s="1"/>
  <c r="Q21" i="36"/>
  <c r="K33" i="35"/>
  <c r="L41" i="35"/>
  <c r="J33" i="35"/>
  <c r="M12" i="35"/>
  <c r="O31" i="35"/>
  <c r="M14" i="35"/>
  <c r="M16" i="35"/>
  <c r="M13" i="35"/>
  <c r="M15" i="35"/>
  <c r="M17" i="35"/>
  <c r="J17" i="35"/>
  <c r="E44" i="72" s="1"/>
  <c r="J18" i="35"/>
  <c r="E45" i="72" s="1"/>
  <c r="J12" i="35"/>
  <c r="E39" i="72" s="1"/>
  <c r="J15" i="35"/>
  <c r="E42" i="72" s="1"/>
  <c r="J13" i="35"/>
  <c r="E40" i="72" s="1"/>
  <c r="J14" i="35"/>
  <c r="E41" i="72" s="1"/>
  <c r="H18" i="35"/>
  <c r="D34" i="72" s="1"/>
  <c r="H12" i="35"/>
  <c r="D28" i="72" s="1"/>
  <c r="H17" i="35"/>
  <c r="D33" i="72" s="1"/>
  <c r="H13" i="35"/>
  <c r="D29" i="72" s="1"/>
  <c r="H14" i="35"/>
  <c r="D30" i="72" s="1"/>
  <c r="E19" i="35"/>
  <c r="Q24" i="36" l="1"/>
  <c r="R53" i="37"/>
  <c r="F31" i="35"/>
  <c r="F34" i="35"/>
  <c r="F38" i="35" s="1"/>
  <c r="F41" i="35" s="1"/>
  <c r="F30" i="35"/>
  <c r="Q8" i="36"/>
  <c r="F27" i="35"/>
  <c r="G42" i="35"/>
  <c r="H31" i="35"/>
  <c r="Q20" i="36"/>
  <c r="I42" i="35"/>
  <c r="O41" i="35"/>
  <c r="E30" i="72"/>
  <c r="F30" i="72" s="1"/>
  <c r="G41" i="72"/>
  <c r="F17" i="35"/>
  <c r="C9" i="71"/>
  <c r="C11" i="71" s="1"/>
  <c r="I9" i="71"/>
  <c r="D11" i="71"/>
  <c r="E33" i="72"/>
  <c r="F33" i="72" s="1"/>
  <c r="G44" i="72"/>
  <c r="E31" i="72"/>
  <c r="F31" i="72" s="1"/>
  <c r="G42" i="72"/>
  <c r="G39" i="72"/>
  <c r="E28" i="72"/>
  <c r="G45" i="72"/>
  <c r="E34" i="72"/>
  <c r="F34" i="72" s="1"/>
  <c r="D35" i="72"/>
  <c r="G40" i="72"/>
  <c r="E29" i="72"/>
  <c r="F29" i="72" s="1"/>
  <c r="E32" i="72"/>
  <c r="F32" i="72" s="1"/>
  <c r="G43" i="72"/>
  <c r="J26" i="35"/>
  <c r="J25" i="35"/>
  <c r="H37" i="35"/>
  <c r="H25" i="35"/>
  <c r="H26" i="35"/>
  <c r="H24" i="35"/>
  <c r="H27" i="35"/>
  <c r="H30" i="35"/>
  <c r="H29" i="35"/>
  <c r="H28" i="35"/>
  <c r="J27" i="35"/>
  <c r="H33" i="35"/>
  <c r="J28" i="35"/>
  <c r="F12" i="35"/>
  <c r="J29" i="35"/>
  <c r="F14" i="35"/>
  <c r="J30" i="35"/>
  <c r="H34" i="35"/>
  <c r="J31" i="35"/>
  <c r="F15" i="35"/>
  <c r="J34" i="35"/>
  <c r="J38" i="35" s="1"/>
  <c r="F13" i="35"/>
  <c r="F16" i="35"/>
  <c r="F18" i="35"/>
  <c r="J24" i="35"/>
  <c r="F33" i="35"/>
  <c r="F29" i="35"/>
  <c r="F28" i="35"/>
  <c r="F26" i="35"/>
  <c r="F25" i="35"/>
  <c r="R52" i="37" l="1"/>
  <c r="I100" i="71"/>
  <c r="I11" i="71"/>
  <c r="I103" i="71" s="1"/>
  <c r="F28" i="72"/>
  <c r="E35" i="72"/>
  <c r="H38" i="35"/>
  <c r="H39" i="35" s="1"/>
  <c r="H41" i="35"/>
  <c r="J41" i="35"/>
  <c r="J39" i="35"/>
  <c r="I102" i="71" l="1"/>
  <c r="I104" i="71" s="1"/>
  <c r="Q43" i="37"/>
  <c r="Q42" i="37"/>
  <c r="Q41" i="37"/>
  <c r="Q40" i="37"/>
  <c r="S40" i="37" s="1"/>
  <c r="Q39" i="37"/>
  <c r="S39" i="37" s="1"/>
  <c r="Q38" i="37"/>
  <c r="P37" i="37"/>
  <c r="L37" i="37"/>
  <c r="K37" i="37"/>
  <c r="J37" i="37"/>
  <c r="Q35" i="37"/>
  <c r="Q31" i="37"/>
  <c r="J51" i="37"/>
  <c r="I30" i="37"/>
  <c r="N25" i="35"/>
  <c r="K14" i="35"/>
  <c r="F52" i="72" s="1"/>
  <c r="K15" i="35"/>
  <c r="F53" i="72" s="1"/>
  <c r="S41" i="37" l="1"/>
  <c r="S33" i="37"/>
  <c r="S34" i="37"/>
  <c r="Q37" i="37"/>
  <c r="Q36" i="37"/>
  <c r="Q44" i="37"/>
  <c r="H55" i="37"/>
  <c r="I55" i="37"/>
  <c r="J55" i="37"/>
  <c r="K55" i="37"/>
  <c r="L55" i="37"/>
  <c r="M55" i="37"/>
  <c r="N55" i="37"/>
  <c r="O55" i="37"/>
  <c r="P55" i="37"/>
  <c r="O11" i="37"/>
  <c r="T22" i="10" l="1"/>
  <c r="S19" i="10"/>
  <c r="N42" i="7"/>
  <c r="N24" i="7"/>
  <c r="S21" i="10" l="1"/>
  <c r="N36" i="35" l="1"/>
  <c r="N35" i="35"/>
  <c r="N33" i="35"/>
  <c r="N32" i="35"/>
  <c r="N34" i="35" s="1"/>
  <c r="N30" i="35"/>
  <c r="N29" i="35"/>
  <c r="N28" i="35"/>
  <c r="N27" i="35"/>
  <c r="N26" i="35"/>
  <c r="N24" i="35"/>
  <c r="L37" i="35"/>
  <c r="O33" i="35"/>
  <c r="O36" i="35"/>
  <c r="O35" i="35"/>
  <c r="O32" i="35"/>
  <c r="L38" i="35" l="1"/>
  <c r="L39" i="35" s="1"/>
  <c r="L42" i="35"/>
  <c r="O42" i="35" s="1"/>
  <c r="I38" i="35"/>
  <c r="K34" i="35"/>
  <c r="K38" i="35" s="1"/>
  <c r="O37" i="35"/>
  <c r="K31" i="35"/>
  <c r="K41" i="35" s="1"/>
  <c r="K42" i="35" s="1"/>
  <c r="N31" i="35"/>
  <c r="N41" i="35" s="1"/>
  <c r="N42" i="35" s="1"/>
  <c r="O38" i="35"/>
  <c r="N37" i="35"/>
  <c r="N38" i="35" s="1"/>
  <c r="I39" i="35" l="1"/>
  <c r="K39" i="35"/>
  <c r="O39" i="35"/>
  <c r="N39" i="35"/>
  <c r="M25" i="35" l="1"/>
  <c r="M24" i="35"/>
  <c r="M33" i="35"/>
  <c r="M30" i="35"/>
  <c r="M34" i="35"/>
  <c r="M38" i="35" s="1"/>
  <c r="M31" i="35"/>
  <c r="M29" i="35"/>
  <c r="M28" i="35"/>
  <c r="M27" i="35"/>
  <c r="M26" i="35"/>
  <c r="M41" i="35" l="1"/>
  <c r="M39" i="35"/>
  <c r="M43" i="7" l="1"/>
  <c r="M42" i="7"/>
  <c r="R20" i="37"/>
  <c r="M24" i="7"/>
  <c r="M23" i="7"/>
  <c r="J23" i="7"/>
  <c r="M27" i="7" l="1"/>
  <c r="M26" i="7"/>
  <c r="M28" i="7" s="1"/>
  <c r="M25" i="7"/>
  <c r="M22" i="7"/>
  <c r="K28" i="7"/>
  <c r="J27" i="7"/>
  <c r="J26" i="7"/>
  <c r="J29" i="7"/>
  <c r="H28" i="7"/>
  <c r="R21" i="37" l="1"/>
  <c r="S21" i="37"/>
  <c r="I24" i="37"/>
  <c r="J22" i="7"/>
  <c r="J28" i="7"/>
  <c r="N25" i="7"/>
  <c r="R19" i="10"/>
  <c r="O19" i="10"/>
  <c r="N19" i="10"/>
  <c r="M19" i="10"/>
  <c r="K18" i="10"/>
  <c r="K17" i="10"/>
  <c r="K20" i="10" s="1"/>
  <c r="T9" i="10"/>
  <c r="T10" i="10"/>
  <c r="T11" i="10"/>
  <c r="T12" i="10"/>
  <c r="T13" i="10"/>
  <c r="T14" i="10"/>
  <c r="T15" i="10"/>
  <c r="T16" i="10"/>
  <c r="T8" i="10"/>
  <c r="K21" i="10" l="1"/>
  <c r="Z7" i="10"/>
  <c r="U16" i="10"/>
  <c r="AA7" i="10"/>
  <c r="AB7" i="10"/>
  <c r="J30" i="7"/>
  <c r="N21" i="10"/>
  <c r="M21" i="10"/>
  <c r="R21" i="10"/>
  <c r="T19" i="10"/>
  <c r="N30" i="7"/>
  <c r="O21" i="10"/>
  <c r="T18" i="10"/>
  <c r="T17" i="10"/>
  <c r="Q45" i="37"/>
  <c r="Q55" i="37"/>
  <c r="Q50" i="37"/>
  <c r="Q49" i="37"/>
  <c r="S48" i="37"/>
  <c r="Q46" i="37"/>
  <c r="Q29" i="37"/>
  <c r="Q28" i="37"/>
  <c r="Q26" i="37"/>
  <c r="Q25" i="37"/>
  <c r="Q52" i="37" s="1"/>
  <c r="S19" i="37"/>
  <c r="Q16" i="37"/>
  <c r="Q15" i="37"/>
  <c r="Q54" i="37" s="1"/>
  <c r="S8" i="37"/>
  <c r="Q9" i="37"/>
  <c r="P51" i="37"/>
  <c r="L51" i="37"/>
  <c r="K51" i="37"/>
  <c r="P30" i="37"/>
  <c r="L30" i="37"/>
  <c r="K30" i="37"/>
  <c r="J30" i="37"/>
  <c r="P24" i="37"/>
  <c r="L24" i="37"/>
  <c r="K24" i="37"/>
  <c r="P18" i="37"/>
  <c r="L18" i="37"/>
  <c r="K18" i="37"/>
  <c r="J18" i="37"/>
  <c r="I18" i="37"/>
  <c r="I11" i="37"/>
  <c r="J11" i="37"/>
  <c r="K11" i="37"/>
  <c r="L11" i="37"/>
  <c r="P11" i="37"/>
  <c r="U16" i="37" l="1"/>
  <c r="U17" i="10"/>
  <c r="V18" i="10"/>
  <c r="T20" i="10"/>
  <c r="U18" i="10"/>
  <c r="S25" i="37"/>
  <c r="S52" i="37"/>
  <c r="S26" i="37"/>
  <c r="Q53" i="37"/>
  <c r="S53" i="37" s="1"/>
  <c r="S15" i="37"/>
  <c r="S54" i="37"/>
  <c r="S56" i="37" s="1"/>
  <c r="S57" i="37" s="1"/>
  <c r="Q24" i="37"/>
  <c r="S20" i="37"/>
  <c r="S47" i="37"/>
  <c r="S46" i="37"/>
  <c r="Q51" i="37"/>
  <c r="Q30" i="37"/>
  <c r="Q11" i="37"/>
  <c r="T21" i="10"/>
  <c r="Q17" i="37"/>
  <c r="Q18" i="37"/>
  <c r="I23" i="36"/>
  <c r="J23" i="36"/>
  <c r="K23" i="36"/>
  <c r="L23" i="36"/>
  <c r="M23" i="36"/>
  <c r="N23" i="36"/>
  <c r="O23" i="36"/>
  <c r="P23" i="36"/>
  <c r="H23" i="36"/>
  <c r="Q27" i="36"/>
  <c r="Q10" i="36"/>
  <c r="Q11" i="36"/>
  <c r="Q13" i="36"/>
  <c r="Q14" i="36"/>
  <c r="Q16" i="36"/>
  <c r="Q17" i="36"/>
  <c r="Q18" i="36"/>
  <c r="Q19" i="36"/>
  <c r="N19" i="35"/>
  <c r="K13" i="35"/>
  <c r="K16" i="35"/>
  <c r="F54" i="72" s="1"/>
  <c r="K17" i="35"/>
  <c r="F55" i="72" s="1"/>
  <c r="K18" i="35"/>
  <c r="F56" i="72" s="1"/>
  <c r="F57" i="72" s="1"/>
  <c r="K19" i="35" l="1"/>
  <c r="O21" i="35"/>
  <c r="O19" i="35"/>
  <c r="Q23" i="36"/>
  <c r="I25" i="36"/>
  <c r="L25" i="36"/>
  <c r="K25" i="36"/>
  <c r="J25" i="36"/>
  <c r="I46" i="72" l="1"/>
  <c r="F12" i="72"/>
  <c r="Q25" i="36"/>
</calcChain>
</file>

<file path=xl/comments1.xml><?xml version="1.0" encoding="utf-8"?>
<comments xmlns="http://schemas.openxmlformats.org/spreadsheetml/2006/main">
  <authors>
    <author>Author</author>
  </authors>
  <commentList>
    <comment ref="E3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69% realizimi I vitiot 2024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E1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verifiko buxhetin fillestar
</t>
        </r>
      </text>
    </comment>
  </commentList>
</comments>
</file>

<file path=xl/sharedStrings.xml><?xml version="1.0" encoding="utf-8"?>
<sst xmlns="http://schemas.openxmlformats.org/spreadsheetml/2006/main" count="3075" uniqueCount="813">
  <si>
    <t>ANEKSI nr.1 Raporti Përmbledhës i Shpenzimeve të Ministrisë/Institucionit Buxhetor</t>
  </si>
  <si>
    <t>në/lekë</t>
  </si>
  <si>
    <t>Emri i Grupit</t>
  </si>
  <si>
    <t>Kodi i grupit</t>
  </si>
  <si>
    <t>EMËRTIME</t>
  </si>
  <si>
    <t>Shpenzimet e Ministrisë/Institucionit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</si>
  <si>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</si>
  <si>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</si>
  <si>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</si>
  <si>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</si>
  <si>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</si>
  <si>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</si>
  <si>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</si>
  <si>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</si>
  <si>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</si>
  <si>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</si>
  <si>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</si>
  <si>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</si>
  <si>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</si>
  <si>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</si>
  <si>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</si>
  <si>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</si>
  <si>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</si>
  <si>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</si>
  <si>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</si>
  <si>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</si>
  <si>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</si>
  <si>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</si>
  <si>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</si>
  <si>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</si>
  <si>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</si>
  <si>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</si>
  <si>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</si>
  <si>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</si>
  <si>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</si>
  <si>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</si>
  <si>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</si>
  <si>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</si>
  <si>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</si>
  <si>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</si>
  <si>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</si>
  <si>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</si>
  <si>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</si>
  <si>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</si>
  <si>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</si>
  <si>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</si>
  <si>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</si>
  <si>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</si>
  <si>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</si>
  <si>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</si>
  <si>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</si>
  <si>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</si>
  <si>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</si>
  <si>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</si>
  <si>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</si>
  <si>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</si>
  <si>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</si>
  <si>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Numri i punonjësve</t>
  </si>
  <si>
    <t>Sekretari i Përgjithshëm</t>
  </si>
  <si>
    <t>Emri</t>
  </si>
  <si>
    <t>Firma</t>
  </si>
  <si>
    <t>Data</t>
  </si>
  <si>
    <t xml:space="preserve">ANEKSI 1.1 Raporti i Shpenzimeve të Ministrisë/Institucionit sipas kapitujve </t>
  </si>
  <si>
    <t>Kodi i Ministrisë</t>
  </si>
  <si>
    <t>Kodi i Kapitullit</t>
  </si>
  <si>
    <t>Emërtimi i Kapitullit</t>
  </si>
  <si>
    <t>Buxheti</t>
  </si>
  <si>
    <t>Artikujt buxhetore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</si>
  <si>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</si>
  <si>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</si>
  <si>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</si>
  <si>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</si>
  <si>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</si>
  <si>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</si>
  <si>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</si>
  <si>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</si>
  <si>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</si>
  <si>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</si>
  <si>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</si>
  <si>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01</t>
  </si>
  <si>
    <t>Nga Buxheti</t>
  </si>
  <si>
    <t>Plani fillestar</t>
  </si>
  <si>
    <t>Plani i rishikuar</t>
  </si>
  <si>
    <t>Fakti</t>
  </si>
  <si>
    <t>Angazhime</t>
  </si>
  <si>
    <t>02</t>
  </si>
  <si>
    <t>Financim i huaj - Grant</t>
  </si>
  <si>
    <t>04</t>
  </si>
  <si>
    <t>TVSH, Detyrim Doganor</t>
  </si>
  <si>
    <t>Ndryshimi ne vlere absolute</t>
  </si>
  <si>
    <t>Realizimi ne %</t>
  </si>
  <si>
    <t>06</t>
  </si>
  <si>
    <t>Nga të ardhurat jashtë limitit</t>
  </si>
  <si>
    <t>Aneksi 1.2 "Shpenzimet Buxhetore në Total Programi dhe Total Ministrie/Institucioni Buxhetor"</t>
  </si>
  <si>
    <t>Kodi i Ministris</t>
  </si>
  <si>
    <t>Kodi i Programi</t>
  </si>
  <si>
    <t>Emërtimi i Programit</t>
  </si>
  <si>
    <t>Viti</t>
  </si>
  <si>
    <t>Tipi i Buxhetit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</si>
  <si>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</si>
  <si>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</si>
  <si>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</si>
  <si>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</si>
  <si>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</si>
  <si>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</si>
  <si>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</si>
  <si>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</si>
  <si>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Shpenzime faktike</t>
  </si>
  <si>
    <t>Te ardhura jashte limiti</t>
  </si>
  <si>
    <t>Total i Ministrisë/Institucionit</t>
  </si>
  <si>
    <t>Numri i punonjesve në Total</t>
  </si>
  <si>
    <t>Numri faktik</t>
  </si>
  <si>
    <t>ANEKSI nr. 2 Raporti mbi Ekzekutimin e Buxhetit në nivelin e Programit të Buxhetit</t>
  </si>
  <si>
    <t xml:space="preserve"> Emri i Grupit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</si>
  <si>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</si>
  <si>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</si>
  <si>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</si>
  <si>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</si>
  <si>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</si>
  <si>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</si>
  <si>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</si>
  <si>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</si>
  <si>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</si>
  <si>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</si>
  <si>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</si>
  <si>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</si>
  <si>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</si>
  <si>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</si>
  <si>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</si>
  <si>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</si>
  <si>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</si>
  <si>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</si>
  <si>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</si>
  <si>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Totali Shpenzime për Investime</t>
  </si>
  <si>
    <t>Drejtuesi i Ekipit 
Menaxhues të 
Programit</t>
  </si>
  <si>
    <t>Total Shpenzime nga të ardhurat jashtë limitit (Kap 06)</t>
  </si>
  <si>
    <t>Shpenzime korente nga të ardhurat jashtë limitit (Kap 06)</t>
  </si>
  <si>
    <t>Shpenzime kapitale nga të ardhurat jashtë limitit (Kap 06)</t>
  </si>
  <si>
    <t>RAPORTI 2/1  Shpenzimet e programit sipas kapitujve</t>
  </si>
  <si>
    <t>Shpenzime Kapitale të Patrupëzuara</t>
  </si>
  <si>
    <t>Shpenzime Kapitale të Trupëzuara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</si>
  <si>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</si>
  <si>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</si>
  <si>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</si>
  <si>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</si>
  <si>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</si>
  <si>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>ANEKSI nr.3 Raporti i performancës së produkteve të programit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</si>
  <si>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</si>
  <si>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</si>
  <si>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</si>
  <si>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</si>
  <si>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</si>
  <si>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</si>
  <si>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</si>
  <si>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</si>
  <si>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</si>
  <si>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</si>
  <si>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</si>
  <si>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</si>
  <si>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</si>
  <si>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</si>
  <si>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</si>
  <si>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</si>
  <si>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</si>
  <si>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</si>
  <si>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</si>
  <si>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</si>
  <si>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</si>
  <si>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</si>
  <si>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</si>
  <si>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</si>
  <si>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</si>
  <si>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</si>
  <si>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</si>
  <si>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</si>
  <si>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T</t>
  </si>
  <si>
    <t>Produktet e realizuara nga përdorimi i të ardhurave jashtë limitit (Nga kapitulli 06)</t>
  </si>
  <si>
    <t>Nr. Paisjesh</t>
  </si>
  <si>
    <t>Firma:</t>
  </si>
  <si>
    <t>Data:</t>
  </si>
  <si>
    <t>Numer sistemi</t>
  </si>
  <si>
    <t>Viti paraardhës 2024</t>
  </si>
  <si>
    <t>Plani Fillestar
 Vjetor 
Viti 2025</t>
  </si>
  <si>
    <t>Plani Vjetor
 i Rishikuar
 Viti 2025</t>
  </si>
  <si>
    <t>02120</t>
  </si>
  <si>
    <t>Forcat e Luftimit</t>
  </si>
  <si>
    <t>02150</t>
  </si>
  <si>
    <t>Mbështetja e Luftimit</t>
  </si>
  <si>
    <t>07340</t>
  </si>
  <si>
    <t>Mbështetja për Shëndetësinë</t>
  </si>
  <si>
    <t>09430</t>
  </si>
  <si>
    <t>Arsimi Ushtarak</t>
  </si>
  <si>
    <t>10270</t>
  </si>
  <si>
    <t>Mbështetje për Ushtarakët</t>
  </si>
  <si>
    <t>10910</t>
  </si>
  <si>
    <t xml:space="preserve">Emergjencat Civile </t>
  </si>
  <si>
    <t>Periudha e Raportimit  12-2025</t>
  </si>
  <si>
    <t>Ministria e Mbrojtjes</t>
  </si>
  <si>
    <t>Periudha e Raportimit 12-2025</t>
  </si>
  <si>
    <t>91701AA</t>
  </si>
  <si>
    <t>Akte ligjore e nenligjore te pergatitura</t>
  </si>
  <si>
    <t>23AD801</t>
  </si>
  <si>
    <t xml:space="preserve">Blerje Pajisjesh  për Zonimin TEMPEST te ambienteve , godinave dhe mburojave  </t>
  </si>
  <si>
    <t>20AC701</t>
  </si>
  <si>
    <t>Permiresim ne hardware/software dhe ndertime te dhomave te serverave (NJUSK)</t>
  </si>
  <si>
    <t>22AG001</t>
  </si>
  <si>
    <t>Blerje pajisje Tik per MM dhe FA</t>
  </si>
  <si>
    <t>M170228</t>
  </si>
  <si>
    <t>Instalim I sistemeve kunder zjarrit</t>
  </si>
  <si>
    <t>23AD701</t>
  </si>
  <si>
    <t>Blerje Automjete per Perfaqesine Ushtarake</t>
  </si>
  <si>
    <t xml:space="preserve">M170487 </t>
  </si>
  <si>
    <t xml:space="preserve">Rikonstruksion I nderteses se Aparatit te MM                                                                               </t>
  </si>
  <si>
    <t>23AE201</t>
  </si>
  <si>
    <t xml:space="preserve">Përmirësimi dhe Mirëmbajtja e Sistemit të Administrimit të Dokumentave </t>
  </si>
  <si>
    <t>M170203</t>
  </si>
  <si>
    <t>Fond i ngrire</t>
  </si>
  <si>
    <t>nr. Aktesh</t>
  </si>
  <si>
    <t xml:space="preserve">Nr.sistemesh </t>
  </si>
  <si>
    <t>Nr.makinash</t>
  </si>
  <si>
    <t>Viti paraardhes  realizimi</t>
  </si>
  <si>
    <t>17</t>
  </si>
  <si>
    <t>91706AB</t>
  </si>
  <si>
    <t>Sigurimin suplementar të ish ushtarakëve dhe ish policeve</t>
  </si>
  <si>
    <t>91706AC</t>
  </si>
  <si>
    <t>91706AD</t>
  </si>
  <si>
    <t>91706AE</t>
  </si>
  <si>
    <t>91706AF</t>
  </si>
  <si>
    <t xml:space="preserve">Përfitime të llogaritura dhe shpërndara për trajtimin e veçantë të pilotëve </t>
  </si>
  <si>
    <t xml:space="preserve">Përfitime të llogaritura dhe shpërndara për trajtimin e veçantë i punonjësve </t>
  </si>
  <si>
    <t xml:space="preserve">Përfitime të llogaritura dhe shpërndara për trajtimin e veçantë të </t>
  </si>
  <si>
    <t xml:space="preserve">Kontributet e buxhetit te shtetit ne baze te legjislacionit per financimin e </t>
  </si>
  <si>
    <t>Nr</t>
  </si>
  <si>
    <t>91702AE</t>
  </si>
  <si>
    <t>Forca Ajrore në gadishmëri dhe operacionale</t>
  </si>
  <si>
    <t>nr.personeli</t>
  </si>
  <si>
    <t>M170327</t>
  </si>
  <si>
    <t>m2</t>
  </si>
  <si>
    <t>18AZ106</t>
  </si>
  <si>
    <t>m linear</t>
  </si>
  <si>
    <t>18AZ109</t>
  </si>
  <si>
    <t>Numer</t>
  </si>
  <si>
    <t>18AZ108</t>
  </si>
  <si>
    <t>Rikonstruksion i Shtepise se Ushtarakeve Kucove</t>
  </si>
  <si>
    <t>cope</t>
  </si>
  <si>
    <t>18AZ229</t>
  </si>
  <si>
    <t>Kompletimi me kapacitet te zbulimit dhe neutralizimit te objekteve pa pilot</t>
  </si>
  <si>
    <t>Sio\steme</t>
  </si>
  <si>
    <t>18AZ208</t>
  </si>
  <si>
    <t>Kapacitete te ofruara ne modernizim</t>
  </si>
  <si>
    <t>18AZ217</t>
  </si>
  <si>
    <t>Shpronesime tokash Kucove (Baza Ajrore Kucove)</t>
  </si>
  <si>
    <t>18AZ220</t>
  </si>
  <si>
    <t>18AZ221</t>
  </si>
  <si>
    <t>18AY921</t>
  </si>
  <si>
    <t>Krijimi I kapitalit fillestar KAYO</t>
  </si>
  <si>
    <t>18AZ231</t>
  </si>
  <si>
    <t>18AZ230</t>
  </si>
  <si>
    <t>Ngritja e shkolles se aviacionit Vlore</t>
  </si>
  <si>
    <t>18AZ232</t>
  </si>
  <si>
    <t>18AZ234</t>
  </si>
  <si>
    <t>Cope</t>
  </si>
  <si>
    <t>18AZ235</t>
  </si>
  <si>
    <t>18AZ237</t>
  </si>
  <si>
    <t>Blerje e avjoneve me krah FIX shumerolesh</t>
  </si>
  <si>
    <t>18AZ223</t>
  </si>
  <si>
    <t>18AZ239</t>
  </si>
  <si>
    <t>Ndertim I sistemit antidronCUAS</t>
  </si>
  <si>
    <t>91702AA</t>
  </si>
  <si>
    <t>Forca Toksore në gadishmëri dhe operacionale</t>
  </si>
  <si>
    <t>Numri personeli Forcave Toksore</t>
  </si>
  <si>
    <t>91702AB</t>
  </si>
  <si>
    <t>Kontigjent ushtarake në mision paqeruajtese jashte vendit</t>
  </si>
  <si>
    <t>nr. Personeli</t>
  </si>
  <si>
    <t>M170424</t>
  </si>
  <si>
    <t>projekt</t>
  </si>
  <si>
    <t>18AY909</t>
  </si>
  <si>
    <t>18AY916</t>
  </si>
  <si>
    <t>Pajisje te sallave operacionale, ndertesave te reja me orendi dhe sisteme IT-je</t>
  </si>
  <si>
    <t>18AY918</t>
  </si>
  <si>
    <t>Ndertim i rrjetit inxhinierik i poligonit kombetar Pajet</t>
  </si>
  <si>
    <t>ml</t>
  </si>
  <si>
    <t>18AY922</t>
  </si>
  <si>
    <t>18AY920</t>
  </si>
  <si>
    <t>Ndertim i sistemit te radiokomunikimit dixhital ne Forcat e Armatosura</t>
  </si>
  <si>
    <t>sistem</t>
  </si>
  <si>
    <t>18AZ238</t>
  </si>
  <si>
    <t>Sistem</t>
  </si>
  <si>
    <t>M170411</t>
  </si>
  <si>
    <t>TVSH</t>
  </si>
  <si>
    <t>91702AC</t>
  </si>
  <si>
    <t>Forca Detare në gadishmëri dhe operacionale</t>
  </si>
  <si>
    <t>numer personeli</t>
  </si>
  <si>
    <t>18AZ021</t>
  </si>
  <si>
    <t>Rikonstruksion i dhomes se serverave te SIVHD /prona 245</t>
  </si>
  <si>
    <t>18AZ037</t>
  </si>
  <si>
    <t>18AZ042</t>
  </si>
  <si>
    <t>18AZ047</t>
  </si>
  <si>
    <t>18AZ041</t>
  </si>
  <si>
    <t>18AZ036</t>
  </si>
  <si>
    <t>Mjet i telekomanduar nenujor (Remote Operation Vehicle)</t>
  </si>
  <si>
    <t>Komplet</t>
  </si>
  <si>
    <t>18AZ043</t>
  </si>
  <si>
    <t>18AZ040</t>
  </si>
  <si>
    <t>18AZ028</t>
  </si>
  <si>
    <t>Ndertim godine per PSV, Maja e Thanasit, prona nr.1273</t>
  </si>
  <si>
    <t>18AZ038</t>
  </si>
  <si>
    <t>18AZ045</t>
  </si>
  <si>
    <t>18AZ044</t>
  </si>
  <si>
    <t>18AZ046</t>
  </si>
  <si>
    <t>numer</t>
  </si>
  <si>
    <t>M170533</t>
  </si>
  <si>
    <t>Ndertim objektesh dhe punime per rikonstruksionin e objekteve te Forces Tokesore</t>
  </si>
  <si>
    <t>Pajisje te sallave operacionale, ndertesave te reja me orendi dhe sisteme IT-</t>
  </si>
  <si>
    <t>18AY919</t>
  </si>
  <si>
    <t>Ngritja e sistemit te sigurise dhe i rrethimit te poligonit kombetar Pajet</t>
  </si>
  <si>
    <t>Blerje dronesh )Financim Kayo)</t>
  </si>
  <si>
    <t>Krijimi i kapitalit fillestar KAYO</t>
  </si>
  <si>
    <t>Blerje pajisje kompjuterike / IT per kompletimin e strukturave te FT-se</t>
  </si>
  <si>
    <t>18AZ007</t>
  </si>
  <si>
    <t xml:space="preserve">Rikonstruksioni i rrjetit te sistemeve kompjuterike ne Komandën e Flotiljes </t>
  </si>
  <si>
    <t>18AZ018</t>
  </si>
  <si>
    <t>Sistemi i komunikimit te anijeve  anije-toke-anije</t>
  </si>
  <si>
    <t>18AZ022</t>
  </si>
  <si>
    <t>Ndertim i sistemit te rrjetit elektrik Maja e Thanasit, Llogara prona 1273</t>
  </si>
  <si>
    <t>18AZ025</t>
  </si>
  <si>
    <t>Municion per Anijet e klasit Iliria</t>
  </si>
  <si>
    <t>18AZ030</t>
  </si>
  <si>
    <t xml:space="preserve">Ndertim i sistemit autonom, panele diellore (PRT dhe Vendbazimi Sazan, </t>
  </si>
  <si>
    <t>Rinovimi teknologjik I radareve te lundrimit ne anije</t>
  </si>
  <si>
    <t>Dylbi profesional optik dhe per shikimin naten  per repartet e Forces Detare</t>
  </si>
  <si>
    <t>18AZ039</t>
  </si>
  <si>
    <t>Vendosja e sistemeve te sensoreve te depozitave te karburantit ne anije</t>
  </si>
  <si>
    <t xml:space="preserve">Ndërtimi i mureve përforcuese të komandës së Kepit të Palit (prona 240, </t>
  </si>
  <si>
    <t xml:space="preserve">Rikonstruksion I godines Nr.1 te KFD (Permiresimi I sitemit te ajrim </t>
  </si>
  <si>
    <t>Rrethimi I jashtem NR.245 (Kompania e mbeshtetjes, QVD, QNOD (ish KFD)"</t>
  </si>
  <si>
    <t xml:space="preserve">Sisteme Nënujore Autonome për kerkimin e minave detare per operacionet </t>
  </si>
  <si>
    <t>Punime infrastrukturore ne Porto palermo (tunel, bankina etj)</t>
  </si>
  <si>
    <t xml:space="preserve">Ndertim dhe rikonstruksion, objektesh( Godina shumefunksionale e QZH, </t>
  </si>
  <si>
    <t>Platforma e grumbukllimirt dhe perpunimit te informacionit detar</t>
  </si>
  <si>
    <t xml:space="preserve">Pajisje per permiresimin e kushteve te jeteses dhe sherbimit ne reparete, </t>
  </si>
  <si>
    <t xml:space="preserve">Ndertimi i perimetrit te sigurise ne Bazen Ajrore Kucove / Shpronesime </t>
  </si>
  <si>
    <t>Sisteme komunikimi dhe infomacioni Baza Ajrore e NATO-s , Kucove CIS</t>
  </si>
  <si>
    <t>Punime Infrastrukturore Baza Ajrore Kucove</t>
  </si>
  <si>
    <t>Hangare , mjedise per mirembajtjen riparimit dhe te testimit</t>
  </si>
  <si>
    <t>Rrjeti inxhinierik dhe taksiway Farke</t>
  </si>
  <si>
    <t>18AZ224</t>
  </si>
  <si>
    <t>Rikonstruksioni I Kullës sTrafikut Ajror, Farke.</t>
  </si>
  <si>
    <t>18AZ225</t>
  </si>
  <si>
    <t>Kanalizimi dhe sistemimi I ujrave te bardha dhe te zeza, Farke.</t>
  </si>
  <si>
    <t>18AZ226</t>
  </si>
  <si>
    <t>Rikonstruksion I Godinave te QKR, Rinas.</t>
  </si>
  <si>
    <t>21AC101</t>
  </si>
  <si>
    <t xml:space="preserve">Permiresimi i sistemeve te teknologjise dhe informacionit, komunikimit dhe </t>
  </si>
  <si>
    <t>Ndërtim hangar mirembajtje per helikopterat, Farke</t>
  </si>
  <si>
    <t xml:space="preserve">ARMATIM I LEHT MUNICION DHE PAISJE E MAKINERI PER FORCAT E </t>
  </si>
  <si>
    <t>Permiresimi i SIHVD-se (Blerja e softit te menaxhimit te SIHVD) (2006)</t>
  </si>
  <si>
    <t>Sistemi I integruar I vezhgimit te hapsires ajrore</t>
  </si>
  <si>
    <t>Ndertim I hangareve per shkollen e aviacionit</t>
  </si>
  <si>
    <t>Kompletim I sallave operacionale , ndertesave te Forces Ajrore me orendi dhe pajisje</t>
  </si>
  <si>
    <t>Qendra per stervitjen e kandidateve te rinj per pilot Gjader</t>
  </si>
  <si>
    <t>19AY920</t>
  </si>
  <si>
    <t>Ndertimi i sistemit te radio kumunikimit dixhital ne Forcat e Armatosura</t>
  </si>
  <si>
    <t>19AH806</t>
  </si>
  <si>
    <t>Pajisje inventar ekonomik</t>
  </si>
  <si>
    <t>Të Tjera Transfer.  Korrente Brendshme</t>
  </si>
  <si>
    <t>Ndertim objektesh dhe punime per rikonstruksione te godinave ne FT</t>
  </si>
  <si>
    <t>Ndertimi I sitemit te sigurise dhe I rrethimit te poligonit Kombetar Pajet Bize</t>
  </si>
  <si>
    <t>Blertje dronesh (Financim Kayo)</t>
  </si>
  <si>
    <t>Numer kapitali</t>
  </si>
  <si>
    <t>Ndertim I sistemit Autonom, panele diellore (PRT dhe vendbazeni Sazan</t>
  </si>
  <si>
    <t>Ndërtimi i mureve përforcuese të komandës së Kepit të Palit (prona 240, godina nr. 34), dhe rikonstruksion I pjeshem I godines. Rikonstruksion I objektit 2 katesh ne Kepin e Palit.</t>
  </si>
  <si>
    <t>Rikonstruksion I godines Nr.1 te KFD (Permiresimi I sitemit te ajrim kondicionimit dhe hidroizolimit, sistemi rrufeprites).</t>
  </si>
  <si>
    <t>Sisteme Nënujore Autonome për kerkimin e minave detare per operacionet VSWMCM (Aunomous underwater vehicle) dhe pajisje per identifikimin dhe klasifikimin e minave detare, Sonar scanner.</t>
  </si>
  <si>
    <t>Ndertim dhe rikonstruksion, objektesh( Godina shumefunksionale e QZH, Shkolla e trupes, Grupi I bordingut etj), bankinash,tyneli dhe  thellim bazeni Pashaliman</t>
  </si>
  <si>
    <t>Pajisje per permiresimin e kushteve te jeteses dhe sherbimit ne reparete, pajisje guzhine, frigorifer, lavatrice, soba, televizor etj.</t>
  </si>
  <si>
    <t>Ndertimi i perimetrit te sigurise ne Bazen Ajrore Kucove / Shpronesime (NATO)</t>
  </si>
  <si>
    <t>Rrjeti Inxhinierik dhe TAXIWAY Farke</t>
  </si>
  <si>
    <t>Nr rrjeti</t>
  </si>
  <si>
    <t>Armatim I lehte municion dhe pajisje e makineri per Forcat e Armatosura</t>
  </si>
  <si>
    <t>18AC101</t>
  </si>
  <si>
    <t>Permiresimi I sistemeve teknologjike dhe informacionit dhe komunikimit</t>
  </si>
  <si>
    <t>Numer sisteme</t>
  </si>
  <si>
    <t>Sistem I integruar I Hapsires Ajrore</t>
  </si>
  <si>
    <t>Ngritja e shkolles se Aviacionit Vlore</t>
  </si>
  <si>
    <t>Kompletim I sallave operacionale , ndertesave te Forces Ajrore me orendi e pajisje</t>
  </si>
  <si>
    <t>n.sistemi</t>
  </si>
  <si>
    <t>18AH806</t>
  </si>
  <si>
    <t>Totali I shpenzimeve te programit</t>
  </si>
  <si>
    <t>91703AI</t>
  </si>
  <si>
    <t>Inteligjenca ushtarake për autoritet e drejtimit dhe komandimit të FA</t>
  </si>
  <si>
    <t>Shpenzime Faktike të Periudhës/ Progresive</t>
  </si>
  <si>
    <t>91705AA</t>
  </si>
  <si>
    <t xml:space="preserve">Kapacitete të afta për trajnimin dhe arsimimin cilësor në Forcat e </t>
  </si>
  <si>
    <t>18CI602</t>
  </si>
  <si>
    <t>Ndertim sistemi i mbrojtjes nga shkarkimet atmosferike ne QAPU</t>
  </si>
  <si>
    <t>18CI603</t>
  </si>
  <si>
    <t xml:space="preserve">Hidroizolimi i magazinave te materialeve dhe depove te AM, godina 4 katshe </t>
  </si>
  <si>
    <t>19AC403</t>
  </si>
  <si>
    <t>Ndertimi i godines se re te AFA, (Prona.21)</t>
  </si>
  <si>
    <t>19AC406</t>
  </si>
  <si>
    <t>Blerje licenca VBS3 dhe 15 laptop per VBS3 (MTT)</t>
  </si>
  <si>
    <t>23AD902</t>
  </si>
  <si>
    <t>Arredimi I Ambjenteve te brendshme te godinave (fakultet dhe Mense-</t>
  </si>
  <si>
    <t>23AD903</t>
  </si>
  <si>
    <t>Kompletimi me pajisje informatike dhe teknologjike te dy godinave te masterplanit</t>
  </si>
  <si>
    <t>23AD904</t>
  </si>
  <si>
    <t>Pasurimi me literature te bibliotekes se AFA-se</t>
  </si>
  <si>
    <t>23AD906</t>
  </si>
  <si>
    <t xml:space="preserve">Blerje pajisje (kondicionerë, lavatriçe, makinë tharëse rrobash, televizor, </t>
  </si>
  <si>
    <t>24AJ801</t>
  </si>
  <si>
    <t>Ndertim I kabines elektrike - Masterplan AFA</t>
  </si>
  <si>
    <t>24AJ901</t>
  </si>
  <si>
    <t>Ndertimi i fushes se futbollit me piste vrapimi - Masterplan AFA</t>
  </si>
  <si>
    <t>24AJ902</t>
  </si>
  <si>
    <t>Ndertimi i terreneve sportive dhe stervitjeje</t>
  </si>
  <si>
    <t>25AC201</t>
  </si>
  <si>
    <t>Veshje me sistem kapot per objektet e QAPU, Bunavi - Vlore</t>
  </si>
  <si>
    <t>Sasia Faktike 
2024</t>
  </si>
  <si>
    <t>Shpenzimet Faktike 
2024</t>
  </si>
  <si>
    <t>Kosto për Njësi 
2024</t>
  </si>
  <si>
    <t>Sasia Faktike (në /nfund të vitit korent) 4 mujori III</t>
  </si>
  <si>
    <t>Shpenzimet Faktike /n(në fund të vitit korent) 4 mujori III</t>
  </si>
  <si>
    <t>Kosto për Njësi Faktike n/(në fund të vitit korent) 4 mujori III</t>
  </si>
  <si>
    <t>Kapacitete të afta për trajnimin dhe arsimimin cilësor në Forcat e Armatosura</t>
  </si>
  <si>
    <t>Numër personeli</t>
  </si>
  <si>
    <t>Arredimi I Ambjenteve te brendshme te godinave (fakultet dhe Mense-Kuzhine te Kampusit te Ri te AFA)</t>
  </si>
  <si>
    <t>Kompletimi me pajisje informatike dhe teknologjike te dy godinave te masterplanit (fakultetit dhe menses) TIK</t>
  </si>
  <si>
    <t>Pasurimi me literature te bibliotekes se AFAsje pajisje dhe orendi te dy godinave te masterplanit (fakultetit dhe menses)</t>
  </si>
  <si>
    <t>Të Tjera Transfer. Korrente Brendshme</t>
  </si>
  <si>
    <t>91704AA</t>
  </si>
  <si>
    <t>Pacientet  te trajtuar ambulator dhe te shtruar te urgjences</t>
  </si>
  <si>
    <t>18AZ813</t>
  </si>
  <si>
    <t>Rikonstruksion Administrata  e SUT</t>
  </si>
  <si>
    <t>18AZ817</t>
  </si>
  <si>
    <t>Blerje Pajisje Mjeksore</t>
  </si>
  <si>
    <t>19AH805</t>
  </si>
  <si>
    <t>Pajisje profesionale</t>
  </si>
  <si>
    <t>numer pacientesh</t>
  </si>
  <si>
    <t>nr</t>
  </si>
  <si>
    <t>91707AA</t>
  </si>
  <si>
    <t xml:space="preserve">Mbrojtja e jetes njerzore, prones, trashigimise kulturore dhe pyetje ndaj </t>
  </si>
  <si>
    <t>91707AB</t>
  </si>
  <si>
    <t xml:space="preserve">Shtetas të ndihmuar, banesat e të cileve janë dëmtuar nga fatkeqësi të </t>
  </si>
  <si>
    <t>91707AD</t>
  </si>
  <si>
    <t>STOKU MALLRA USHQIMORE (REZERVE MATERIALE SHTETERORE)</t>
  </si>
  <si>
    <t>91707AE</t>
  </si>
  <si>
    <t>STOKU MALLRA INDUSTRIAL (REZERVE MATERIALE SHTETERORE)</t>
  </si>
  <si>
    <t>91707AG</t>
  </si>
  <si>
    <t xml:space="preserve">Shpenzime për marrjen e masave parandaluese, lehtësuese mbrojtëse dhe </t>
  </si>
  <si>
    <t>18AZ901</t>
  </si>
  <si>
    <t>Fatkeqesi natyrore te menaxhuara</t>
  </si>
  <si>
    <t>18AZ902</t>
  </si>
  <si>
    <t>Kulla ndriçimi të instaluara në një karrel dhe projektor fotoelektrik per AKMC</t>
  </si>
  <si>
    <t>18AZ903</t>
  </si>
  <si>
    <t>Set me veshje kerkim shpetimi  AKMC</t>
  </si>
  <si>
    <t>18AZ904</t>
  </si>
  <si>
    <t>Digat</t>
  </si>
  <si>
    <t>18AZ905</t>
  </si>
  <si>
    <t>Parandalimi dhe menaxhimi i fatkeqesive natyrore</t>
  </si>
  <si>
    <t>18BA101</t>
  </si>
  <si>
    <t>Blerje pajisje kompjuterike dhe fotokopje</t>
  </si>
  <si>
    <t>18BA105</t>
  </si>
  <si>
    <t>Cadra strehimi</t>
  </si>
  <si>
    <t>20AD002</t>
  </si>
  <si>
    <t>Blerje mjete speciale per  AKMC</t>
  </si>
  <si>
    <t>20AD102</t>
  </si>
  <si>
    <t>Blerje software per permirsimin e sistemit te paralajmerimit te hersheme</t>
  </si>
  <si>
    <t>20AD104</t>
  </si>
  <si>
    <t>Blerje software  baza e te dhenave te humbjeve nga fatkeqesite</t>
  </si>
  <si>
    <t>20AD106</t>
  </si>
  <si>
    <t>Robot nenujor per AKMC</t>
  </si>
  <si>
    <t>20AD107</t>
  </si>
  <si>
    <t>Blerje sistemit GIS  dhe integrmim me AKSH-in AKMC</t>
  </si>
  <si>
    <t>21AD301</t>
  </si>
  <si>
    <t>Ushqimi per bageti</t>
  </si>
  <si>
    <t>21AD501</t>
  </si>
  <si>
    <t>Ndertim I stacioneve Hidro-meteorologjike</t>
  </si>
  <si>
    <t>21AD502</t>
  </si>
  <si>
    <t>Investime te Bashkive per Mbrojtjen Civile (sipas VKM-se 414 date 08.07.2021)</t>
  </si>
  <si>
    <t>22AG102</t>
  </si>
  <si>
    <t>Bashkefinancim me projektet e huaja Roses</t>
  </si>
  <si>
    <t>22AG103</t>
  </si>
  <si>
    <t>Bashkefinancim me projektet e huaja Flood North Albania</t>
  </si>
  <si>
    <t>22AG104</t>
  </si>
  <si>
    <t>Bashkefinancim me projektet e huaja Local Drm</t>
  </si>
  <si>
    <t>22AG105</t>
  </si>
  <si>
    <t>Bashkefinancim me projektet e huaja Sa Resilience</t>
  </si>
  <si>
    <t>22AG106</t>
  </si>
  <si>
    <t xml:space="preserve">Bashkefinancim Albadapt/ Climate Service for Resilient Albania/Green </t>
  </si>
  <si>
    <t>24AK001</t>
  </si>
  <si>
    <t>Bashkefinancim me projekt I huaj EMERGE</t>
  </si>
  <si>
    <t>25AD701</t>
  </si>
  <si>
    <t>Bashkefinancim AKMC per ALBADAPT/EAR-MHES</t>
  </si>
  <si>
    <t>M170312</t>
  </si>
  <si>
    <t>Blerje pajisje zyre dhe kompjuterike</t>
  </si>
  <si>
    <t>M170521</t>
  </si>
  <si>
    <t>Mallra Rezerve Shteti Ushqimore</t>
  </si>
  <si>
    <t>M170528</t>
  </si>
  <si>
    <t>Mallra rezerve shteti industrial</t>
  </si>
  <si>
    <t>19AC501</t>
  </si>
  <si>
    <t xml:space="preserve">Realizimi i blerjes se dy SOFTWARE-ve dhe pajisje për dhomen e monitorimit </t>
  </si>
  <si>
    <t>22AG202</t>
  </si>
  <si>
    <t>FIRE PREP</t>
  </si>
  <si>
    <t>22AG203</t>
  </si>
  <si>
    <t>ROSES</t>
  </si>
  <si>
    <t>22AG204</t>
  </si>
  <si>
    <t>Financim i huaj</t>
  </si>
  <si>
    <t>22AG205</t>
  </si>
  <si>
    <t>Flood North Albania</t>
  </si>
  <si>
    <t>22AG206</t>
  </si>
  <si>
    <t>Local DRM</t>
  </si>
  <si>
    <t>22AG207</t>
  </si>
  <si>
    <t>Sa Resilience</t>
  </si>
  <si>
    <t>22AG208</t>
  </si>
  <si>
    <t>Resilient Albania/Green Climate Fund (GCF) ne bashkepunim</t>
  </si>
  <si>
    <t>24AK101</t>
  </si>
  <si>
    <t>EMERGE</t>
  </si>
  <si>
    <t>25AD801</t>
  </si>
  <si>
    <t>Grant Albadapt/EAR-MHEWS</t>
  </si>
  <si>
    <t>Art. 231 HUAJ</t>
  </si>
  <si>
    <t>Mbeshteja e Luftimit</t>
  </si>
  <si>
    <t>ok</t>
  </si>
  <si>
    <t>Nr.</t>
  </si>
  <si>
    <t>Plani i rishikuar viti 2025</t>
  </si>
  <si>
    <t>Shpenzime faktike viti 2025</t>
  </si>
  <si>
    <t xml:space="preserve">Perqindja kundrejt 12 mujorit </t>
  </si>
  <si>
    <t>Arsimimi Ushtarak</t>
  </si>
  <si>
    <t>Totali i Shpenzimeve të Ministrisë</t>
  </si>
  <si>
    <t>PROGRAMI BUXHETOR PLANIFIKIMI, MENAXHIMI DHE ADMINISTRIMI</t>
  </si>
  <si>
    <t>LLOGARIA EKONOMIKE</t>
  </si>
  <si>
    <t>Shpenzime faktike 2024</t>
  </si>
  <si>
    <t>PLANI FILLESTAR</t>
  </si>
  <si>
    <t>PLANI ME NDRYSHIME</t>
  </si>
  <si>
    <t>MBETJE</t>
  </si>
  <si>
    <t xml:space="preserve"> % e Realizimit </t>
  </si>
  <si>
    <t xml:space="preserve"> NDRYSHIME </t>
  </si>
  <si>
    <t>Totali</t>
  </si>
  <si>
    <t>231/2</t>
  </si>
  <si>
    <t>TOTALI</t>
  </si>
  <si>
    <t>PROGRAMI BUXHETOR FORCA E LUFTIMIT</t>
  </si>
  <si>
    <t>PROGRAMI BUXHETOR MBESHTETJA E LUFTIMIT</t>
  </si>
  <si>
    <t>PROGRAMI BUXHETOMBWSHTETJE PWR SHWNDETWSINW</t>
  </si>
  <si>
    <t>PROGRAMI BUXHETOR ARSIMI USHTARAK</t>
  </si>
  <si>
    <t>PROGRAMI BUXHETOR MBESHTETJE SOCIALE PER USHTARAKET</t>
  </si>
  <si>
    <t>PROGRAMI BUXHETOR EMERGJENCAT CIVILE</t>
  </si>
  <si>
    <t>TOTAL MINISTRIA E MBROJTJES</t>
  </si>
  <si>
    <t>akmc</t>
  </si>
  <si>
    <t xml:space="preserve">Emërtimi i  Programit </t>
  </si>
  <si>
    <t>Shpenzime korrente  Viti 2025 në %</t>
  </si>
  <si>
    <t>Shpenzime kapitale të brendshme Viti 2025në %</t>
  </si>
  <si>
    <t>Totali i shpenzimeve buxhetore  Viti 2025 në %</t>
  </si>
  <si>
    <t>TOTALI   I   MINISTRISË</t>
  </si>
  <si>
    <t xml:space="preserve">Emërtimi i Programit </t>
  </si>
  <si>
    <t>Struktura e shpenz. sipas buxhetit fillestar Viti 2025 në %</t>
  </si>
  <si>
    <t xml:space="preserve">Struktura e shpenz. sipas faktit të </t>
  </si>
  <si>
    <t>Vitit 2025në %</t>
  </si>
  <si>
    <t>#</t>
  </si>
  <si>
    <t xml:space="preserve">Nr, </t>
  </si>
  <si>
    <t xml:space="preserve"> Emërtimi i Programit </t>
  </si>
  <si>
    <t xml:space="preserve"> Plani vjetor i rishikur në mijë lekë</t>
  </si>
  <si>
    <t xml:space="preserve"> Struktura në % </t>
  </si>
  <si>
    <t xml:space="preserve"> Fakti i vitit 2025 </t>
  </si>
  <si>
    <t xml:space="preserve"> Realizimi  në % </t>
  </si>
  <si>
    <t xml:space="preserve"> Totali </t>
  </si>
  <si>
    <t>TOTALI I MINISTRISË</t>
  </si>
  <si>
    <t xml:space="preserve"> fakt</t>
  </si>
  <si>
    <t>Plan</t>
  </si>
  <si>
    <t xml:space="preserve"> %</t>
  </si>
  <si>
    <t>TOTALI MM</t>
  </si>
  <si>
    <t>Emërtimi Iprogarmit</t>
  </si>
  <si>
    <t xml:space="preserve">Numri I punonjesve ne plan </t>
  </si>
  <si>
    <t>NDYSHIMI  I NUMRI TEW PUNONJWSVE (PLAN -FAKT)</t>
  </si>
  <si>
    <r>
      <t xml:space="preserve">Emri:                     </t>
    </r>
    <r>
      <rPr>
        <b/>
        <sz val="7"/>
        <color rgb="FF080808"/>
        <rFont val="Arial"/>
        <family val="2"/>
      </rPr>
      <t xml:space="preserve"> </t>
    </r>
  </si>
  <si>
    <t>91703AA</t>
  </si>
  <si>
    <t>Kapacitete Operacionale që sigurojnë mbështetjen logjistike të FARSH</t>
  </si>
  <si>
    <t>91703AC</t>
  </si>
  <si>
    <t>Qendra e Kultures funksionale</t>
  </si>
  <si>
    <t>91703AD</t>
  </si>
  <si>
    <t>Arkive funksionale</t>
  </si>
  <si>
    <t>91703AE</t>
  </si>
  <si>
    <t>Personel i rekrutuar dhe dosje te administriuara per trajtim financiar.</t>
  </si>
  <si>
    <t>91703AF</t>
  </si>
  <si>
    <t>Sistem i Automatizuar Logjistik i Menaxhuar</t>
  </si>
  <si>
    <t>91703AG</t>
  </si>
  <si>
    <t>Licenca import/eksporit te dhena</t>
  </si>
  <si>
    <t>91703AH</t>
  </si>
  <si>
    <t>Harta  ushtarake  te prodhura</t>
  </si>
  <si>
    <t>91703AJ</t>
  </si>
  <si>
    <t>Hapesires detare e monitoruar</t>
  </si>
  <si>
    <t>91703AK</t>
  </si>
  <si>
    <t>Polici ushtarake funksionale</t>
  </si>
  <si>
    <t>91703AL</t>
  </si>
  <si>
    <t>Sistem funksional kontrolli per FA</t>
  </si>
  <si>
    <t>91703AM</t>
  </si>
  <si>
    <t>Objekte ne ruajtje dhe godina pushimi te ofruara</t>
  </si>
  <si>
    <t>91703AN</t>
  </si>
  <si>
    <t>Kologji i Mbrojtjes dhe Sigurise</t>
  </si>
  <si>
    <t>18AZ301</t>
  </si>
  <si>
    <t>Mjete transporti dhe speciale FA</t>
  </si>
  <si>
    <t>18AZ307</t>
  </si>
  <si>
    <t>Pajisje dhe softe per permiresimin e sistemit ne AISM</t>
  </si>
  <si>
    <t>18AZ312</t>
  </si>
  <si>
    <t>Zhvillimi i kapaciteteve O1001, K1002, S1003, S1004, L1005, N1006, N1007,</t>
  </si>
  <si>
    <t>18AZ313</t>
  </si>
  <si>
    <t xml:space="preserve">"Ngritja e sistemit te informacionit per gjeografine dhe infrastruktures </t>
  </si>
  <si>
    <t>18AZ317</t>
  </si>
  <si>
    <t>Kompletim dhe modernizim me automjete</t>
  </si>
  <si>
    <t>18AZ319</t>
  </si>
  <si>
    <t>Sistemi i dixhitalizimit te dokumetave arkivore</t>
  </si>
  <si>
    <t>18AZ322</t>
  </si>
  <si>
    <t>Kompletim i ambjenteve per Zyrat e Rekrutimit ne rrethe</t>
  </si>
  <si>
    <t>18AZ324</t>
  </si>
  <si>
    <t xml:space="preserve">Abonimi dhe suporti teknik vjetor per setin e programeTeledzne Cartis,per </t>
  </si>
  <si>
    <t>18AZ325</t>
  </si>
  <si>
    <t xml:space="preserve">Abonimi dhe suporti teknik vjetor per programin SevenCs,per realizimin </t>
  </si>
  <si>
    <t>18AZ326</t>
  </si>
  <si>
    <t xml:space="preserve">Programe te licensuara per sektoret e IGJIU-se(AutoCadcivil,Autocadmap3D, </t>
  </si>
  <si>
    <t>18AZ327</t>
  </si>
  <si>
    <t>Zhvillimi i kapaciteteve T1012,B1013,R1014,R1015,I1016,N1017</t>
  </si>
  <si>
    <t>18AZ328</t>
  </si>
  <si>
    <t>Kondicioner zyrash 9-btu</t>
  </si>
  <si>
    <t>18AZ334</t>
  </si>
  <si>
    <t xml:space="preserve">Blerje, Paisje kompjuterike dhe Kancelarike për Dixhitalizimin dhe </t>
  </si>
  <si>
    <t>18AZ335</t>
  </si>
  <si>
    <t>Zhvillimi i kapaciteteve  Ç1009; M1019; P1020; S1021; P1022; P1023;T1012;</t>
  </si>
  <si>
    <t>18AZ336</t>
  </si>
  <si>
    <t>Permiresimi I sistemeve te MM/FA per sigurine kibernetike</t>
  </si>
  <si>
    <t>18AZ337</t>
  </si>
  <si>
    <t xml:space="preserve">Blerje pajisjesh per zhvillimin e eventeve, trajnimeve dhe backthon-eve </t>
  </si>
  <si>
    <t>18AZ338</t>
  </si>
  <si>
    <t>Blerje Automjeti transporti per personelin e QISM</t>
  </si>
  <si>
    <t>18AZ411</t>
  </si>
  <si>
    <t>Rikonstruksion Godine</t>
  </si>
  <si>
    <t>18AZ412</t>
  </si>
  <si>
    <t xml:space="preserve">Rikonstruksion ambjentesh, blerje aparaurash mjekësore e dentare dhe </t>
  </si>
  <si>
    <t>18AZ413</t>
  </si>
  <si>
    <t>Përshtatje dhe rikonstruksion ambjentesh per Zyrat e Rekrutimit ne rrethe</t>
  </si>
  <si>
    <t>18AZ414</t>
  </si>
  <si>
    <t xml:space="preserve">Ndertim objekti shumefunksional per akomodimin e Komandes, Shtabit dhe </t>
  </si>
  <si>
    <t>18AZ415</t>
  </si>
  <si>
    <t>Rikonstruksion teresor i nderteses se komandes dhe shtabit te batalionit.</t>
  </si>
  <si>
    <t>18AZ416</t>
  </si>
  <si>
    <t>Rikonstruksion ndertesash , rrethim pjesor , ndertim sistem sigurie Rep nr.</t>
  </si>
  <si>
    <t>18AZ417</t>
  </si>
  <si>
    <t xml:space="preserve">Ndertim grup-depo per administrimin e pajisjeve dhe akomodimin e </t>
  </si>
  <si>
    <t>18AZ419</t>
  </si>
  <si>
    <t xml:space="preserve">Rikonstruksion deposh,godina 1 kateshe,truproje,rrethim pjesor,sistem </t>
  </si>
  <si>
    <t>18AZ420</t>
  </si>
  <si>
    <t xml:space="preserve">Rikonstruksion truproje, rrethim pjesor sistem sigurie pjesor prona nr.122 </t>
  </si>
  <si>
    <t>18AZ421</t>
  </si>
  <si>
    <t xml:space="preserve">Rikonstruksion treuproje porta hyrese rrethim pjesor sistem sigurie grup </t>
  </si>
  <si>
    <t>18AZ423</t>
  </si>
  <si>
    <t xml:space="preserve">Pershtatja e amjenteve te reja ne Garnizonin Skenderbej per magazinimin e </t>
  </si>
  <si>
    <t>18AZ426</t>
  </si>
  <si>
    <t xml:space="preserve">Godine 3K(Mbulim me cati,rikonstruksion I ambjenteve te brendshme,nyjeve </t>
  </si>
  <si>
    <t>18AZ427</t>
  </si>
  <si>
    <t>Godine 2K(Mbulim me cati,rikonstruksion I nyjeve higjeno-sanitare)</t>
  </si>
  <si>
    <t>18AZ428</t>
  </si>
  <si>
    <t>Rrethim I repartit 6604</t>
  </si>
  <si>
    <t>18AZ429</t>
  </si>
  <si>
    <t>Rikonstruksion godine 3-K, zyra e PU, Berat</t>
  </si>
  <si>
    <t>18AZ430</t>
  </si>
  <si>
    <t>Rikonstruksion i objektit Qendra e pesonel Rekrutim Godina nr.35 .</t>
  </si>
  <si>
    <t>18AZ501</t>
  </si>
  <si>
    <t>Blerje pajisje hardëare për rrjetet e paklasifikuara në FA</t>
  </si>
  <si>
    <t>18AZ502</t>
  </si>
  <si>
    <t xml:space="preserve">Ndërtimin e sistemit të Telefonise VoIP &amp; VTC n ë FA(Radiorele Digitale) + </t>
  </si>
  <si>
    <t>18AZ505</t>
  </si>
  <si>
    <t>Licenca dhe programe softeurike per FA</t>
  </si>
  <si>
    <t>18AZ506</t>
  </si>
  <si>
    <t>Pajisje harduerike per rrjetin e klasifikuar te FA</t>
  </si>
  <si>
    <t>18AZ507</t>
  </si>
  <si>
    <t>Ndertim/zgjerim i rrjetit te fibres Optike ne FA</t>
  </si>
  <si>
    <t>18AZ508</t>
  </si>
  <si>
    <t>Ndertimi i sistemit te trasmetimit shumekanalesh me vale FD</t>
  </si>
  <si>
    <t>18AZ513</t>
  </si>
  <si>
    <t>Rrjeti Kombetar i Klasifikuar NATO Sekret</t>
  </si>
  <si>
    <t>18AZ519</t>
  </si>
  <si>
    <t>Blerje e pajisjeve Similatore</t>
  </si>
  <si>
    <t>18AZ520</t>
  </si>
  <si>
    <t>Blerje paisje  elektronike ( TIK)</t>
  </si>
  <si>
    <t>18AZ521</t>
  </si>
  <si>
    <t>Blerje paisje  elektronike ( TIK) per Muzeun Berzhite</t>
  </si>
  <si>
    <t>18AZ522</t>
  </si>
  <si>
    <t>Blerje pajisje vegla muzikore per OSFA - ne</t>
  </si>
  <si>
    <t>18AZ523</t>
  </si>
  <si>
    <t xml:space="preserve">Automatizimi i Burimeve te Mbrojtjes ( Permiresimi  I sistemit te </t>
  </si>
  <si>
    <t>18AZ524</t>
  </si>
  <si>
    <t>Permiresime ne hardware, software dhe ndertime te dhomave te serverave per rritjen e performances se sistemeve te MM/FA per vazhdueshmerine e punes</t>
  </si>
  <si>
    <t>18AZ526</t>
  </si>
  <si>
    <t>Kompjutera desktop QNOD</t>
  </si>
  <si>
    <t>18AZ527</t>
  </si>
  <si>
    <t xml:space="preserve">Blerje Pajisje per permiresimin e Kapaciteteve Operacionale dhe Sigurise te </t>
  </si>
  <si>
    <t>18AZ528</t>
  </si>
  <si>
    <t>Blerje e kompjuterave Laptop profesionale per stafin e QISM</t>
  </si>
  <si>
    <t>18AZ608</t>
  </si>
  <si>
    <t>Karrige zyrash me mbeshtetje (QNOD)</t>
  </si>
  <si>
    <t>18AZ609</t>
  </si>
  <si>
    <t>Kompletimi me Smart Bord te Klasave te KMS (Tabela interaktive min 86")</t>
  </si>
  <si>
    <t>18AZ610</t>
  </si>
  <si>
    <t>Blerje pajisjesh per TIK (Teknologjin dhe Informacionin KMS)</t>
  </si>
  <si>
    <t>18AZ611</t>
  </si>
  <si>
    <t>Bateri UPS 1000VA AKSHE</t>
  </si>
  <si>
    <t>Kondicioner zyrash 9-btu AKSHE</t>
  </si>
  <si>
    <t>Tavolina pune ne forme L AKSHE</t>
  </si>
  <si>
    <t>18CI201</t>
  </si>
  <si>
    <t>Ndërtimi i Muzeut te madh te Forcave te Armatosura</t>
  </si>
  <si>
    <t>18CI405</t>
  </si>
  <si>
    <t xml:space="preserve">Rikonstruksion i godinave te demtuara nga termeti prona 231 ne SHPU </t>
  </si>
  <si>
    <t>18CI407</t>
  </si>
  <si>
    <t>Rrethim i prones nr.108 (Venddislokimi i batalionit)</t>
  </si>
  <si>
    <t>18CI408</t>
  </si>
  <si>
    <t>Pajisje hotelerie per SHPU Jale, Durre , Pogradec dhe Vlore</t>
  </si>
  <si>
    <t>18CI409</t>
  </si>
  <si>
    <t xml:space="preserve">Sistemim infrastruktures + Postoblloku nr.4 + Tranazhim i fushes se futbollit </t>
  </si>
  <si>
    <t>18CI410</t>
  </si>
  <si>
    <t>Rikonstruksion i dy objekteve tip tunel ne pronen NR.206 Berzhite Tirane</t>
  </si>
  <si>
    <t>18CI412</t>
  </si>
  <si>
    <t>Permiresim dhe riparim i sistemit te cillerave ne garnizonin Skenderbej</t>
  </si>
  <si>
    <t>18CI413</t>
  </si>
  <si>
    <t>Pajisje zyrash te Njesise Ushtarake te Sigurise Kibernetike</t>
  </si>
  <si>
    <t>18CI502</t>
  </si>
  <si>
    <t xml:space="preserve">Paisje me elementet e sistemit te sigurise elektronike ne Rep.Usht.Nr.6630 </t>
  </si>
  <si>
    <t>18AZ530</t>
  </si>
  <si>
    <t>Blerje licencave per permiresimin dhe perditesimin e Sistemeve te Mbrojtjes Kibernetike per Forcat e Armatosura.</t>
  </si>
  <si>
    <t>18AZ425</t>
  </si>
  <si>
    <t>Ndertim godine polifunksionale, kabinete mesimore per funksionimin e Shkolles se Trupes, prona nr.1275 Peze-Helmes</t>
  </si>
  <si>
    <t>18AZ434</t>
  </si>
  <si>
    <t>Ndertim objekti I perkohshem (element I mbeshtetjes kombetaqre ne filmcity, Prishtine)</t>
  </si>
  <si>
    <t>18AZ435</t>
  </si>
  <si>
    <t>Rikonstruksion, asfaltim dhe sistemim sheshe dhe terrene te FARSH</t>
  </si>
  <si>
    <t>18AZ603</t>
  </si>
  <si>
    <t>Kompletimi me pajisje e orendi (tavolina,karrige,rafte etj) per FA</t>
  </si>
  <si>
    <t>M170237</t>
  </si>
  <si>
    <t>Blerje studime e projektime (Art.231)</t>
  </si>
  <si>
    <t>18AZ339</t>
  </si>
  <si>
    <t>Dixhitalizimi i linjës informative te AISM</t>
  </si>
  <si>
    <t>18AZ529</t>
  </si>
  <si>
    <t>Blerje pajisje  per sistemin BICES</t>
  </si>
  <si>
    <t>Studime e projektime (Art.230)</t>
  </si>
  <si>
    <t>M170362</t>
  </si>
  <si>
    <t>Blerje Droni</t>
  </si>
  <si>
    <t>M170412</t>
  </si>
  <si>
    <t xml:space="preserve"> Rikonstruksion zyre</t>
  </si>
  <si>
    <t>Pajisje inventar ekonomik PU</t>
  </si>
  <si>
    <t>Plani</t>
  </si>
  <si>
    <t>Kapacitete Operacioanle që sigurojnë mbështetjen logjistike të FARSH</t>
  </si>
  <si>
    <t>Numer personeli</t>
  </si>
  <si>
    <t>meter linear dokumentash</t>
  </si>
  <si>
    <t>numer personash</t>
  </si>
  <si>
    <t>numer liçenca</t>
  </si>
  <si>
    <t>flete</t>
  </si>
  <si>
    <t>Zhvillimi i kapaciteteve O1001, K1002, S1003, S1004, L1005, N1006, N1007,R1008,I1009,M1010,M1011</t>
  </si>
  <si>
    <t>"Ngritja e sistemit te informacionit per gjeografine dhe infrastruktures ushtarake ne sherbim te IGJIU"</t>
  </si>
  <si>
    <t>Abonimi dhe suporti teknik vjetor per setin e programeTeledzne Cartis,per realiyim e hartave detare elektronike ENC dhe harta detare ne leter ne vazdhim te projektit ALNO-HIP.</t>
  </si>
  <si>
    <t>Abonimi dhe suporti teknik vjetor per programin SevenCs,per realizimin ekontrollit te saktesise se hartave detare elektronike ENC nevazhdim te projektit ALNO-HIP</t>
  </si>
  <si>
    <t>Programe te licensuara per sektoret e IGJIU-se(AutoCadcivil,Autocadmap3D, Sletch up etj)</t>
  </si>
  <si>
    <t>Blerje, Paisje kompjuterike dhe Kancelarike për Dixhitalizimin dhe Sistemimin e Arkivit</t>
  </si>
  <si>
    <t>Zhvillimi i kapaciteteve  Ç1009; M1019; P1020; S1021; P1022; P1023;T1012;Z1024;Z1025;R1014;R1015;I1016</t>
  </si>
  <si>
    <t>Blerje pajisjesh per zhvillimin e eventeve, trajnimeve dhe backthon-eve (Ekran LED te Brendshem, Ndricim profesional, kamera per takime online) per godinen 2 te QISM</t>
  </si>
  <si>
    <t>cop</t>
  </si>
  <si>
    <t>Ndertim objekti shumefunksional per akomodimin e Komandes, Shtabit dhe Kompanise se Mbeshtetjes ne pronen nr.86 C Ferraj Tirane</t>
  </si>
  <si>
    <t>Rikonstruksion teresor i nderteses se komandes dhe shtabit te batalionit.(Rep 4007) demtuar nga termeti,rrethimi,sistemi i sigurise, ndertim depo karburanti, rikonstruksion oficine, rikondtruksion parqesh prona nr.149 Peze-Helmes</t>
  </si>
  <si>
    <t>Rikonstruksion ndertesash , rrethim pjesor , ndertim sistem sigurie Rep nr.4009 prona nr.176 Ferraj, Tirane</t>
  </si>
  <si>
    <t>Ndertim grup-depo per administrimin e pajisjeve dhe akomodimin e kompanise II te kerkim shpetimit, ne pronen nr.86, Reparti Ushtarak nr.4030, Ferraj, Tirane</t>
  </si>
  <si>
    <t>Rikonstruksion deposh,godina 1 kateshe,truproje,rrethim pjesor,sistem sigurie grup depo mengel prona nr.318,319 mengel</t>
  </si>
  <si>
    <t>Ndërtimin e sistemit të Telefonise VoIP &amp; VTC n ë FA(Radiorele Digitale) + FD</t>
  </si>
  <si>
    <t>rrjet</t>
  </si>
  <si>
    <t>Automatizimi i Burimeve te Mbrojtjes ( Permiresimi  I sistemit te automatizimit, SIMB)</t>
  </si>
  <si>
    <t>Blerje Pajisje per permiresimin e Kapaciteteve Operacionale dhe Sigurise te Rrjeteve Kompjuterike te Forcave të Armatosura</t>
  </si>
  <si>
    <t>Rikonstruksion i godinave te demtuara nga termeti prona 231 ne SHPU Durres Vila nr.1 dhe nr.2(seksioni i vjeter) nr.4 dhe nr.8</t>
  </si>
  <si>
    <t>Sistemim infrastruktures + Postoblloku nr.4 + Tranazhim i fushes se futbollit ne Garnizonin Skenderbej</t>
  </si>
  <si>
    <t>Paisje me elementet e sistemit te sigurise elektronike ne Rep.Usht.Nr.6630 Garnizoni Skenderbej , OFFA dhe SHPU</t>
  </si>
  <si>
    <t>18az427</t>
  </si>
  <si>
    <t>Godine 2k(Mbulim me cati, rikonstruksion I nyjeve dhe higjenes sanitare</t>
  </si>
  <si>
    <t>nr projekti</t>
  </si>
  <si>
    <t>Bateri UPS 100VA AKSHE</t>
  </si>
  <si>
    <t>Emertimi i Programit</t>
  </si>
  <si>
    <t xml:space="preserve">Shpenzime kapitale  (Faktii vitit 2025) </t>
  </si>
  <si>
    <t xml:space="preserve"> Vlera </t>
  </si>
  <si>
    <t>77, 654</t>
  </si>
  <si>
    <t>8, 225, 628</t>
  </si>
  <si>
    <t>2, 069, 971</t>
  </si>
  <si>
    <t>193, 285</t>
  </si>
  <si>
    <t>396, 905</t>
  </si>
  <si>
    <t>Emergjencat Civile</t>
  </si>
  <si>
    <t>1, 327, 226</t>
  </si>
  <si>
    <t>Totali i shpenzimeve të Ministrise</t>
  </si>
  <si>
    <t>12, 290, 669</t>
  </si>
  <si>
    <t>Total projekte sipas planit tw  rishikuar</t>
  </si>
  <si>
    <t xml:space="preserve"> Projekte te Realizuar nw  vitin 2025 </t>
  </si>
  <si>
    <t>Totali (Korrente + Kapitale +me finacim te bendshem sipas Sifqit)</t>
  </si>
  <si>
    <t>Totali (Korrente + Kapitale +me finacim te bendshem +finacimi I huaj)</t>
  </si>
  <si>
    <t>GR..</t>
  </si>
  <si>
    <t>Programi</t>
  </si>
  <si>
    <t>KAP</t>
  </si>
  <si>
    <t>Emergjenca Civile</t>
  </si>
  <si>
    <t>Ndertim I portit te Ri Porto Romano ( Infrastruktura per bazen detare NATO)</t>
  </si>
  <si>
    <t>Transporderi ushtarak MOD  5-IFF</t>
  </si>
  <si>
    <t>Qendra e kontroll raportimit</t>
  </si>
  <si>
    <t>Automatizimi I sherbimit meterelogjik</t>
  </si>
  <si>
    <t>Sistemi I mbrojtejs ajrore bazuar ne toke (GBAD, MRAD/SHORAD)</t>
  </si>
  <si>
    <t>Blerje e avjoneve me krah fix</t>
  </si>
  <si>
    <t>Te ardhura te trasheguara nga viti 2024</t>
  </si>
  <si>
    <t>Te ardhura tekrijuara per vitin 2025</t>
  </si>
  <si>
    <t>Te ardhurat sipas bilancit</t>
  </si>
  <si>
    <t>Fakti sipas sistemit te Thesarit</t>
  </si>
  <si>
    <t>Shpenzime nga te ardhurat per vitin 2025</t>
  </si>
  <si>
    <t>Trasheguar per vitin 2025</t>
  </si>
  <si>
    <t xml:space="preserve">në lekë </t>
  </si>
  <si>
    <t>Ne leke</t>
  </si>
  <si>
    <t xml:space="preserve">Ne leke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</si>
</sst>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0"/>
    <numFmt numFmtId="165" formatCode="_(* #,##0_);_(* \(#,##0\);_(* &quot;-&quot;??_);_(@_)"/>
    <numFmt numFmtId="166" formatCode="#,##0.0"/>
    <numFmt numFmtId="167" formatCode="_(* #,##0.0_);_(* \(#,##0.0\);_(* &quot;-&quot;??_);_(@_)"/>
    <numFmt numFmtId="168" formatCode="0.0%"/>
    <numFmt numFmtId="169" formatCode="0.0"/>
    <numFmt numFmtId="170" formatCode="_-* #,##0.00_-;\-* #,##0.00_-;_-* &quot;-&quot;??_-;_-@_-"/>
    <numFmt numFmtId="171" formatCode="_(* #,##0.000_);_(* \(#,##0.000\);_(* &quot;-&quot;??_);_(@_)"/>
    <numFmt numFmtId="172" formatCode="_-* #,##0_-;\-* #,##0_-;_-* &quot;-&quot;_-;_-@_-"/>
    <numFmt numFmtId="173" formatCode="_-* #,##0.00_L_e_k_-;\-* #,##0.00_L_e_k_-;_-* &quot;-&quot;??_L_e_k_-;_-@_-"/>
    <numFmt numFmtId="174" formatCode="&quot;   &quot;@"/>
    <numFmt numFmtId="175" formatCode="&quot;      &quot;@"/>
    <numFmt numFmtId="176" formatCode="&quot;         &quot;@"/>
    <numFmt numFmtId="177" formatCode="&quot;            &quot;@"/>
    <numFmt numFmtId="178" formatCode="&quot;               &quot;@"/>
    <numFmt numFmtId="179" formatCode="#,##0.000"/>
    <numFmt numFmtId="180" formatCode="mmmm\ d\,\ yyyy"/>
    <numFmt numFmtId="181" formatCode="_([$€]* #,##0.00_);_([$€]* \(#,##0.00\);_([$€]* &quot;-&quot;??_);_(@_)"/>
    <numFmt numFmtId="182" formatCode="#,##0\ &quot;Kč&quot;;\-#,##0\ &quot;Kč&quot;"/>
    <numFmt numFmtId="183" formatCode="_-&quot;¢&quot;* #,##0_-;\-&quot;¢&quot;* #,##0_-;_-&quot;¢&quot;* &quot;-&quot;_-;_-@_-"/>
    <numFmt numFmtId="184" formatCode="_-&quot;¢&quot;* #,##0.00_-;\-&quot;¢&quot;* #,##0.00_-;_-&quot;¢&quot;* &quot;-&quot;??_-;_-@_-"/>
    <numFmt numFmtId="185" formatCode="[&gt;=0.05]#,##0.0;[&lt;=-0.05]\-#,##0.0;?0.0"/>
    <numFmt numFmtId="186" formatCode="[Black]#,##0.0;[Black]\-#,##0.0;;"/>
    <numFmt numFmtId="187" formatCode="[Black][&gt;0.05]#,##0.0;[Black][&lt;-0.05]\-#,##0.0;;"/>
    <numFmt numFmtId="188" formatCode="[Black][&gt;0.5]#,##0;[Black][&lt;-0.5]\-#,##0;;"/>
    <numFmt numFmtId="189" formatCode="#,##0.0____"/>
    <numFmt numFmtId="190" formatCode="General\ \ \ \ \ \ "/>
    <numFmt numFmtId="191" formatCode="0.0\ \ \ \ \ \ \ \ "/>
    <numFmt numFmtId="192" formatCode="mmmm\ yyyy"/>
    <numFmt numFmtId="193" formatCode="\$#,##0.00\ ;\(\$#,##0.00\)"/>
  </numFmts>
  <fonts count="168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080808"/>
      <name val="Arial"/>
      <family val="2"/>
    </font>
    <font>
      <sz val="10"/>
      <name val="Arial"/>
      <family val="2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7"/>
      <color rgb="FF080808"/>
      <name val="Arial"/>
      <family val="2"/>
    </font>
    <font>
      <b/>
      <sz val="9"/>
      <color rgb="FF080808"/>
      <name val="Arial"/>
      <family val="2"/>
    </font>
    <font>
      <b/>
      <sz val="7"/>
      <color rgb="FF0070C0"/>
      <name val="Arial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sz val="7"/>
      <color theme="1"/>
      <name val="Arial"/>
      <family val="2"/>
    </font>
    <font>
      <sz val="8"/>
      <color rgb="FF000000"/>
      <name val="SansSerif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</font>
    <font>
      <sz val="7"/>
      <color rgb="FFFF0000"/>
      <name val="Arial"/>
      <family val="2"/>
    </font>
    <font>
      <b/>
      <sz val="9"/>
      <color rgb="FF000000"/>
      <name val="Calibri"/>
      <family val="2"/>
    </font>
    <font>
      <sz val="7"/>
      <color rgb="FF00B050"/>
      <name val="Arial"/>
      <family val="2"/>
    </font>
    <font>
      <b/>
      <sz val="11"/>
      <color theme="1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7"/>
      <color rgb="FF7030A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00"/>
      <name val="Arial"/>
      <family val="2"/>
    </font>
    <font>
      <sz val="8"/>
      <color rgb="FF050505"/>
      <name val="SansSerif"/>
      <family val="2"/>
    </font>
    <font>
      <b/>
      <sz val="8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9"/>
      <name val="SansSerif"/>
      <family val="2"/>
    </font>
    <font>
      <sz val="8"/>
      <name val="Arial"/>
      <family val="2"/>
    </font>
    <font>
      <i/>
      <sz val="7"/>
      <color rgb="FF000000"/>
      <name val="Calibri"/>
      <family val="2"/>
    </font>
    <font>
      <b/>
      <sz val="7"/>
      <color rgb="FF7030A0"/>
      <name val="Arial"/>
      <family val="2"/>
    </font>
    <font>
      <sz val="10"/>
      <color theme="1"/>
      <name val="Calibri"/>
      <family val="2"/>
      <scheme val="minor"/>
    </font>
    <font>
      <sz val="9"/>
      <color rgb="FFC00000"/>
      <name val="Calibri"/>
      <family val="2"/>
    </font>
    <font>
      <sz val="12"/>
      <color theme="1"/>
      <name val="Times New Roman"/>
      <family val="1"/>
    </font>
    <font>
      <sz val="8"/>
      <name val="Calibri"/>
      <family val="2"/>
    </font>
    <font>
      <b/>
      <sz val="8"/>
      <name val="Calibri"/>
      <family val="2"/>
    </font>
    <font>
      <sz val="9"/>
      <name val="Arial"/>
      <family val="2"/>
    </font>
    <font>
      <sz val="8"/>
      <color rgb="FFFF0000"/>
      <name val="Calibri"/>
      <family val="2"/>
      <scheme val="minor"/>
    </font>
    <font>
      <sz val="6"/>
      <color rgb="FF050505"/>
      <name val="Arial"/>
      <family val="2"/>
    </font>
    <font>
      <b/>
      <sz val="8"/>
      <color rgb="FFC00000"/>
      <name val="Times New Roman"/>
      <family val="1"/>
    </font>
    <font>
      <b/>
      <sz val="8"/>
      <color rgb="FF080808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name val="Arial"/>
      <family val="2"/>
      <charset val="238"/>
    </font>
    <font>
      <b/>
      <sz val="8"/>
      <color rgb="FF050505"/>
      <name val="SansSerif"/>
      <family val="2"/>
    </font>
    <font>
      <b/>
      <sz val="8"/>
      <color rgb="FF050505"/>
      <name val="Calibri"/>
      <family val="2"/>
    </font>
    <font>
      <sz val="8"/>
      <color rgb="FF050505"/>
      <name val="Arial"/>
      <family val="2"/>
    </font>
    <font>
      <sz val="8"/>
      <name val="Calibri"/>
      <family val="2"/>
      <scheme val="minor"/>
    </font>
    <font>
      <sz val="8"/>
      <name val="Times New Roman"/>
      <family val="1"/>
    </font>
    <font>
      <sz val="8"/>
      <color rgb="FF0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Times New Roman"/>
      <family val="1"/>
    </font>
    <font>
      <b/>
      <sz val="7"/>
      <color rgb="FFC00000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  <charset val="238"/>
    </font>
    <font>
      <b/>
      <sz val="8"/>
      <color rgb="FFFF0000"/>
      <name val="Times New Roman"/>
      <family val="1"/>
    </font>
    <font>
      <b/>
      <i/>
      <sz val="11"/>
      <color rgb="FFFF0000"/>
      <name val="Calibri"/>
      <family val="2"/>
      <scheme val="minor"/>
    </font>
    <font>
      <b/>
      <sz val="10"/>
      <color rgb="FFC00000"/>
      <name val="Times New Roman"/>
      <family val="1"/>
    </font>
    <font>
      <sz val="10"/>
      <color rgb="FF000000"/>
      <name val="Times New Roman"/>
      <family val="1"/>
    </font>
    <font>
      <sz val="11"/>
      <color rgb="FFFF0000"/>
      <name val="Times New Roman"/>
      <family val="1"/>
    </font>
    <font>
      <sz val="11.5"/>
      <color theme="1"/>
      <name val="Times New Roman"/>
      <family val="1"/>
    </font>
    <font>
      <i/>
      <sz val="11.5"/>
      <color theme="1"/>
      <name val="Times New Roman"/>
      <family val="1"/>
    </font>
    <font>
      <b/>
      <i/>
      <sz val="11.5"/>
      <color theme="1"/>
      <name val="Times New Roman"/>
      <family val="1"/>
    </font>
    <font>
      <b/>
      <sz val="7"/>
      <color rgb="FF00B0F0"/>
      <name val="Arial"/>
      <family val="2"/>
    </font>
    <font>
      <sz val="7"/>
      <name val="Calibri"/>
      <family val="2"/>
      <scheme val="minor"/>
    </font>
    <font>
      <sz val="10"/>
      <color rgb="FFC00000"/>
      <name val="Times New Roman"/>
      <family val="1"/>
    </font>
    <font>
      <sz val="8"/>
      <name val="SansSerif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11"/>
      <name val="Arial"/>
      <family val="2"/>
    </font>
    <font>
      <sz val="12"/>
      <name val="Times New Roman"/>
      <family val="1"/>
    </font>
    <font>
      <b/>
      <sz val="8"/>
      <name val="SansSerif"/>
      <family val="2"/>
    </font>
    <font>
      <sz val="8"/>
      <color rgb="FF00B0F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8"/>
      <color theme="1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7"/>
      <color rgb="FFC00000"/>
      <name val="Calibri"/>
      <family val="2"/>
      <scheme val="minor"/>
    </font>
    <font>
      <b/>
      <sz val="7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50505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50505"/>
      <name val="Calibri"/>
      <family val="2"/>
      <scheme val="minor"/>
    </font>
    <font>
      <sz val="7"/>
      <color rgb="FF050505"/>
      <name val="Calibri"/>
      <family val="2"/>
      <scheme val="minor"/>
    </font>
    <font>
      <sz val="8"/>
      <color rgb="FF050505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rgb="FF050505"/>
      <name val="Calibri"/>
      <family val="2"/>
      <scheme val="minor"/>
    </font>
    <font>
      <b/>
      <sz val="8"/>
      <color rgb="FF080808"/>
      <name val="Calibri"/>
      <family val="2"/>
      <scheme val="minor"/>
    </font>
    <font>
      <sz val="8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80808"/>
      <name val="Calibri"/>
      <family val="2"/>
      <scheme val="minor"/>
    </font>
    <font>
      <b/>
      <sz val="9"/>
      <color rgb="FF000000"/>
      <name val="Arial"/>
      <family val="2"/>
    </font>
    <font>
      <sz val="8"/>
      <name val="SansSerif"/>
    </font>
    <font>
      <b/>
      <sz val="8"/>
      <name val="SansSerif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EBF1D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193"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/>
      <right/>
      <top style="double">
        <color rgb="FF000000"/>
      </top>
      <bottom/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50505"/>
      </left>
      <right/>
      <top style="double">
        <color rgb="FF050505"/>
      </top>
      <bottom style="medium">
        <color rgb="FF050505"/>
      </bottom>
      <diagonal/>
    </border>
    <border>
      <left/>
      <right/>
      <top style="double">
        <color rgb="FF050505"/>
      </top>
      <bottom style="thin">
        <color rgb="FF000000"/>
      </bottom>
      <diagonal/>
    </border>
    <border>
      <left style="double">
        <color rgb="FF05050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medium">
        <color indexed="64"/>
      </top>
      <bottom style="thin">
        <color rgb="FF050505"/>
      </bottom>
      <diagonal/>
    </border>
    <border>
      <left/>
      <right/>
      <top style="medium">
        <color indexed="64"/>
      </top>
      <bottom/>
      <diagonal/>
    </border>
    <border>
      <left style="thin">
        <color rgb="FF050505"/>
      </left>
      <right style="medium">
        <color indexed="64"/>
      </right>
      <top style="thin">
        <color rgb="FF050505"/>
      </top>
      <bottom style="thin">
        <color rgb="FF05050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50505"/>
      </bottom>
      <diagonal/>
    </border>
    <border>
      <left/>
      <right/>
      <top style="medium">
        <color indexed="64"/>
      </top>
      <bottom style="thin">
        <color rgb="FF050505"/>
      </bottom>
      <diagonal/>
    </border>
    <border>
      <left/>
      <right style="double">
        <color rgb="FF050505"/>
      </right>
      <top style="medium">
        <color indexed="64"/>
      </top>
      <bottom style="thin">
        <color rgb="FF050505"/>
      </bottom>
      <diagonal/>
    </border>
    <border>
      <left/>
      <right style="medium">
        <color indexed="64"/>
      </right>
      <top style="medium">
        <color indexed="64"/>
      </top>
      <bottom style="thin">
        <color rgb="FF050505"/>
      </bottom>
      <diagonal/>
    </border>
    <border>
      <left style="medium">
        <color indexed="64"/>
      </left>
      <right/>
      <top style="thin">
        <color rgb="FF050505"/>
      </top>
      <bottom style="thin">
        <color rgb="FF050505"/>
      </bottom>
      <diagonal/>
    </border>
    <border>
      <left/>
      <right style="medium">
        <color indexed="64"/>
      </right>
      <top style="thin">
        <color rgb="FF050505"/>
      </top>
      <bottom style="thin">
        <color rgb="FF050505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00000"/>
      </left>
      <right style="medium">
        <color indexed="64"/>
      </right>
      <top style="double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50505"/>
      </right>
      <top style="medium">
        <color indexed="64"/>
      </top>
      <bottom style="thin">
        <color rgb="FF050505"/>
      </bottom>
      <diagonal/>
    </border>
    <border>
      <left style="medium">
        <color indexed="64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50505"/>
      </left>
      <right style="medium">
        <color indexed="64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50505"/>
      </right>
      <top style="thin">
        <color rgb="FF050505"/>
      </top>
      <bottom/>
      <diagonal/>
    </border>
    <border>
      <left style="double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50505"/>
      </bottom>
      <diagonal/>
    </border>
    <border>
      <left/>
      <right style="thin">
        <color rgb="FF050505"/>
      </right>
      <top style="thin">
        <color rgb="FF000000"/>
      </top>
      <bottom style="hair">
        <color rgb="FF05050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50505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50505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 style="thin">
        <color rgb="FF050505"/>
      </top>
      <bottom style="thin">
        <color rgb="FF000000"/>
      </bottom>
      <diagonal/>
    </border>
    <border>
      <left/>
      <right style="medium">
        <color indexed="64"/>
      </right>
      <top style="thin">
        <color rgb="FF050505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50505"/>
      </bottom>
      <diagonal/>
    </border>
    <border>
      <left style="medium">
        <color indexed="64"/>
      </left>
      <right/>
      <top/>
      <bottom style="thin">
        <color rgb="FF050505"/>
      </bottom>
      <diagonal/>
    </border>
    <border>
      <left style="medium">
        <color indexed="64"/>
      </left>
      <right/>
      <top style="double">
        <color rgb="FF050505"/>
      </top>
      <bottom style="hair">
        <color rgb="FF050505"/>
      </bottom>
      <diagonal/>
    </border>
    <border>
      <left/>
      <right style="thin">
        <color rgb="FF000000"/>
      </right>
      <top style="double">
        <color rgb="FF050505"/>
      </top>
      <bottom style="hair">
        <color rgb="FF050505"/>
      </bottom>
      <diagonal/>
    </border>
    <border>
      <left style="medium">
        <color indexed="64"/>
      </left>
      <right/>
      <top style="double">
        <color rgb="FF000000"/>
      </top>
      <bottom style="hair">
        <color rgb="FF050505"/>
      </bottom>
      <diagonal/>
    </border>
    <border>
      <left/>
      <right style="thin">
        <color rgb="FF000000"/>
      </right>
      <top style="double">
        <color rgb="FF000000"/>
      </top>
      <bottom style="hair">
        <color rgb="FF050505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50505"/>
      </left>
      <right/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50505"/>
      </left>
      <right style="medium">
        <color indexed="64"/>
      </right>
      <top/>
      <bottom style="thin">
        <color rgb="FF050505"/>
      </bottom>
      <diagonal/>
    </border>
    <border>
      <left style="medium">
        <color indexed="64"/>
      </left>
      <right style="thin">
        <color rgb="FF050505"/>
      </right>
      <top style="medium">
        <color indexed="64"/>
      </top>
      <bottom style="medium">
        <color indexed="64"/>
      </bottom>
      <diagonal/>
    </border>
    <border>
      <left style="thin">
        <color rgb="FF050505"/>
      </left>
      <right style="thin">
        <color rgb="FF050505"/>
      </right>
      <top style="medium">
        <color indexed="64"/>
      </top>
      <bottom style="medium">
        <color indexed="64"/>
      </bottom>
      <diagonal/>
    </border>
    <border>
      <left style="thin">
        <color rgb="FF05050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rgb="FF050505"/>
      </left>
      <right/>
      <top style="double">
        <color rgb="FF050505"/>
      </top>
      <bottom/>
      <diagonal/>
    </border>
    <border>
      <left style="double">
        <color rgb="FF050505"/>
      </left>
      <right/>
      <top/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double">
        <color rgb="FF050505"/>
      </bottom>
      <diagonal/>
    </border>
  </borders>
  <cellStyleXfs count="536">
    <xf numFmtId="0" fontId="0" fillId="0" borderId="0"/>
    <xf numFmtId="0" fontId="11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43" fontId="18" fillId="4" borderId="1" applyFont="0" applyFill="0" applyBorder="0" applyAlignment="0" applyProtection="0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43" fontId="18" fillId="4" borderId="1" applyFont="0" applyFill="0" applyBorder="0" applyAlignment="0" applyProtection="0"/>
    <xf numFmtId="43" fontId="18" fillId="0" borderId="0" applyFont="0" applyFill="0" applyBorder="0" applyAlignment="0" applyProtection="0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9" fontId="18" fillId="4" borderId="1" applyFont="0" applyFill="0" applyBorder="0" applyAlignment="0" applyProtection="0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9" fontId="18" fillId="0" borderId="0" applyFont="0" applyFill="0" applyBorder="0" applyAlignment="0" applyProtection="0"/>
    <xf numFmtId="0" fontId="72" fillId="9" borderId="0" applyNumberFormat="0" applyBorder="0" applyAlignment="0" applyProtection="0"/>
    <xf numFmtId="0" fontId="73" fillId="10" borderId="0" applyNumberFormat="0" applyBorder="0" applyAlignment="0" applyProtection="0"/>
    <xf numFmtId="0" fontId="18" fillId="4" borderId="1"/>
    <xf numFmtId="0" fontId="18" fillId="4" borderId="1"/>
    <xf numFmtId="0" fontId="11" fillId="4" borderId="1"/>
    <xf numFmtId="0" fontId="11" fillId="4" borderId="1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0" fontId="18" fillId="4" borderId="1"/>
    <xf numFmtId="0" fontId="18" fillId="4" borderId="1"/>
    <xf numFmtId="43" fontId="18" fillId="4" borderId="1" applyFont="0" applyFill="0" applyBorder="0" applyAlignment="0" applyProtection="0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43" fontId="18" fillId="4" borderId="1" applyFont="0" applyFill="0" applyBorder="0" applyAlignment="0" applyProtection="0"/>
    <xf numFmtId="9" fontId="18" fillId="4" borderId="1" applyFont="0" applyFill="0" applyBorder="0" applyAlignment="0" applyProtection="0"/>
    <xf numFmtId="0" fontId="11" fillId="4" borderId="1"/>
    <xf numFmtId="0" fontId="107" fillId="4" borderId="1"/>
    <xf numFmtId="172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173" fontId="11" fillId="4" borderId="1" applyFont="0" applyFill="0" applyBorder="0" applyAlignment="0" applyProtection="0"/>
    <xf numFmtId="43" fontId="11" fillId="4" borderId="1" applyFont="0" applyFill="0" applyBorder="0" applyAlignment="0" applyProtection="0"/>
    <xf numFmtId="0" fontId="64" fillId="4" borderId="1"/>
    <xf numFmtId="0" fontId="11" fillId="4" borderId="1"/>
    <xf numFmtId="0" fontId="64" fillId="4" borderId="1"/>
    <xf numFmtId="0" fontId="11" fillId="4" borderId="1"/>
    <xf numFmtId="0" fontId="11" fillId="4" borderId="1"/>
    <xf numFmtId="43" fontId="11" fillId="4" borderId="1" applyFont="0" applyFill="0" applyBorder="0" applyAlignment="0" applyProtection="0"/>
    <xf numFmtId="0" fontId="11" fillId="4" borderId="1"/>
    <xf numFmtId="0" fontId="11" fillId="4" borderId="1"/>
    <xf numFmtId="9" fontId="109" fillId="4" borderId="1" applyFont="0" applyFill="0" applyBorder="0" applyAlignment="0" applyProtection="0"/>
    <xf numFmtId="173" fontId="11" fillId="4" borderId="1" applyFont="0" applyFill="0" applyBorder="0" applyAlignment="0" applyProtection="0"/>
    <xf numFmtId="0" fontId="110" fillId="4" borderId="1">
      <alignment vertical="top"/>
    </xf>
    <xf numFmtId="0" fontId="110" fillId="4" borderId="1">
      <alignment vertical="top"/>
    </xf>
    <xf numFmtId="0" fontId="104" fillId="4" borderId="1"/>
    <xf numFmtId="0" fontId="104" fillId="4" borderId="1"/>
    <xf numFmtId="0" fontId="104" fillId="4" borderId="1"/>
    <xf numFmtId="174" fontId="61" fillId="4" borderId="1" applyFont="0" applyFill="0" applyBorder="0" applyAlignment="0" applyProtection="0"/>
    <xf numFmtId="175" fontId="61" fillId="4" borderId="1" applyFont="0" applyFill="0" applyBorder="0" applyAlignment="0" applyProtection="0"/>
    <xf numFmtId="0" fontId="111" fillId="15" borderId="1" applyNumberFormat="0" applyBorder="0" applyAlignment="0" applyProtection="0"/>
    <xf numFmtId="0" fontId="111" fillId="16" borderId="1" applyNumberFormat="0" applyBorder="0" applyAlignment="0" applyProtection="0"/>
    <xf numFmtId="0" fontId="111" fillId="17" borderId="1" applyNumberFormat="0" applyBorder="0" applyAlignment="0" applyProtection="0"/>
    <xf numFmtId="0" fontId="111" fillId="18" borderId="1" applyNumberFormat="0" applyBorder="0" applyAlignment="0" applyProtection="0"/>
    <xf numFmtId="0" fontId="111" fillId="19" borderId="1" applyNumberFormat="0" applyBorder="0" applyAlignment="0" applyProtection="0"/>
    <xf numFmtId="0" fontId="111" fillId="20" borderId="1" applyNumberFormat="0" applyBorder="0" applyAlignment="0" applyProtection="0"/>
    <xf numFmtId="176" fontId="61" fillId="4" borderId="1" applyFont="0" applyFill="0" applyBorder="0" applyAlignment="0" applyProtection="0"/>
    <xf numFmtId="177" fontId="61" fillId="4" borderId="1" applyFont="0" applyFill="0" applyBorder="0" applyAlignment="0" applyProtection="0"/>
    <xf numFmtId="0" fontId="111" fillId="21" borderId="1" applyNumberFormat="0" applyBorder="0" applyAlignment="0" applyProtection="0"/>
    <xf numFmtId="0" fontId="111" fillId="22" borderId="1" applyNumberFormat="0" applyBorder="0" applyAlignment="0" applyProtection="0"/>
    <xf numFmtId="0" fontId="111" fillId="23" borderId="1" applyNumberFormat="0" applyBorder="0" applyAlignment="0" applyProtection="0"/>
    <xf numFmtId="0" fontId="111" fillId="18" borderId="1" applyNumberFormat="0" applyBorder="0" applyAlignment="0" applyProtection="0"/>
    <xf numFmtId="0" fontId="111" fillId="21" borderId="1" applyNumberFormat="0" applyBorder="0" applyAlignment="0" applyProtection="0"/>
    <xf numFmtId="0" fontId="111" fillId="24" borderId="1" applyNumberFormat="0" applyBorder="0" applyAlignment="0" applyProtection="0"/>
    <xf numFmtId="178" fontId="61" fillId="4" borderId="1" applyFont="0" applyFill="0" applyBorder="0" applyAlignment="0" applyProtection="0"/>
    <xf numFmtId="0" fontId="112" fillId="25" borderId="1" applyNumberFormat="0" applyBorder="0" applyAlignment="0" applyProtection="0"/>
    <xf numFmtId="0" fontId="112" fillId="22" borderId="1" applyNumberFormat="0" applyBorder="0" applyAlignment="0" applyProtection="0"/>
    <xf numFmtId="0" fontId="112" fillId="23" borderId="1" applyNumberFormat="0" applyBorder="0" applyAlignment="0" applyProtection="0"/>
    <xf numFmtId="0" fontId="112" fillId="26" borderId="1" applyNumberFormat="0" applyBorder="0" applyAlignment="0" applyProtection="0"/>
    <xf numFmtId="0" fontId="112" fillId="27" borderId="1" applyNumberFormat="0" applyBorder="0" applyAlignment="0" applyProtection="0"/>
    <xf numFmtId="0" fontId="112" fillId="28" borderId="1" applyNumberFormat="0" applyBorder="0" applyAlignment="0" applyProtection="0"/>
    <xf numFmtId="0" fontId="112" fillId="29" borderId="1" applyNumberFormat="0" applyBorder="0" applyAlignment="0" applyProtection="0"/>
    <xf numFmtId="0" fontId="112" fillId="30" borderId="1" applyNumberFormat="0" applyBorder="0" applyAlignment="0" applyProtection="0"/>
    <xf numFmtId="0" fontId="112" fillId="31" borderId="1" applyNumberFormat="0" applyBorder="0" applyAlignment="0" applyProtection="0"/>
    <xf numFmtId="0" fontId="112" fillId="26" borderId="1" applyNumberFormat="0" applyBorder="0" applyAlignment="0" applyProtection="0"/>
    <xf numFmtId="0" fontId="112" fillId="27" borderId="1" applyNumberFormat="0" applyBorder="0" applyAlignment="0" applyProtection="0"/>
    <xf numFmtId="0" fontId="112" fillId="32" borderId="1" applyNumberFormat="0" applyBorder="0" applyAlignment="0" applyProtection="0"/>
    <xf numFmtId="0" fontId="113" fillId="16" borderId="1" applyNumberFormat="0" applyBorder="0" applyAlignment="0" applyProtection="0"/>
    <xf numFmtId="3" fontId="64" fillId="33" borderId="177" applyNumberFormat="0"/>
    <xf numFmtId="0" fontId="114" fillId="34" borderId="178" applyNumberFormat="0" applyAlignment="0" applyProtection="0"/>
    <xf numFmtId="0" fontId="115" fillId="4" borderId="179" applyNumberFormat="0" applyFont="0" applyFill="0" applyAlignment="0" applyProtection="0"/>
    <xf numFmtId="0" fontId="116" fillId="35" borderId="180" applyNumberFormat="0" applyAlignment="0" applyProtection="0"/>
    <xf numFmtId="0" fontId="117" fillId="4" borderId="1"/>
    <xf numFmtId="43" fontId="11" fillId="4" borderId="1" applyFont="0" applyFill="0" applyBorder="0" applyAlignment="0" applyProtection="0"/>
    <xf numFmtId="173" fontId="64" fillId="4" borderId="1" applyFont="0" applyFill="0" applyBorder="0" applyAlignment="0" applyProtection="0"/>
    <xf numFmtId="173" fontId="64" fillId="4" borderId="1" applyFont="0" applyFill="0" applyBorder="0" applyAlignment="0" applyProtection="0"/>
    <xf numFmtId="173" fontId="11" fillId="4" borderId="1" applyFont="0" applyFill="0" applyBorder="0" applyAlignment="0" applyProtection="0"/>
    <xf numFmtId="173" fontId="11" fillId="4" borderId="1" applyFont="0" applyFill="0" applyBorder="0" applyAlignment="0" applyProtection="0"/>
    <xf numFmtId="173" fontId="64" fillId="4" borderId="1" applyFont="0" applyFill="0" applyBorder="0" applyAlignment="0" applyProtection="0"/>
    <xf numFmtId="179" fontId="118" fillId="4" borderId="1">
      <alignment horizontal="right" vertical="top"/>
    </xf>
    <xf numFmtId="3" fontId="11" fillId="4" borderId="1" applyFill="0" applyBorder="0" applyAlignment="0" applyProtection="0"/>
    <xf numFmtId="0" fontId="117" fillId="4" borderId="1"/>
    <xf numFmtId="0" fontId="117" fillId="4" borderId="1"/>
    <xf numFmtId="5" fontId="11" fillId="4" borderId="1" applyFill="0" applyBorder="0" applyAlignment="0" applyProtection="0"/>
    <xf numFmtId="180" fontId="11" fillId="4" borderId="1" applyFill="0" applyBorder="0" applyAlignment="0" applyProtection="0"/>
    <xf numFmtId="0" fontId="115" fillId="4" borderId="1" applyFont="0" applyFill="0" applyBorder="0" applyAlignment="0" applyProtection="0"/>
    <xf numFmtId="0" fontId="64" fillId="14" borderId="1" applyNumberFormat="0" applyBorder="0" applyProtection="0"/>
    <xf numFmtId="181" fontId="64" fillId="4" borderId="1" applyFont="0" applyFill="0" applyBorder="0" applyAlignment="0" applyProtection="0"/>
    <xf numFmtId="168" fontId="11" fillId="36" borderId="176" applyNumberFormat="0" applyFont="0" applyBorder="0" applyAlignment="0" applyProtection="0">
      <alignment horizontal="right"/>
    </xf>
    <xf numFmtId="0" fontId="119" fillId="4" borderId="1" applyNumberFormat="0" applyFill="0" applyBorder="0" applyAlignment="0" applyProtection="0"/>
    <xf numFmtId="3" fontId="115" fillId="4" borderId="1" applyFont="0" applyFill="0" applyBorder="0" applyAlignment="0" applyProtection="0"/>
    <xf numFmtId="3" fontId="115" fillId="4" borderId="1" applyFont="0" applyFill="0" applyBorder="0" applyAlignment="0" applyProtection="0"/>
    <xf numFmtId="2" fontId="11" fillId="4" borderId="1" applyFill="0" applyBorder="0" applyAlignment="0" applyProtection="0"/>
    <xf numFmtId="0" fontId="120" fillId="17" borderId="1" applyNumberFormat="0" applyBorder="0" applyAlignment="0" applyProtection="0"/>
    <xf numFmtId="38" fontId="121" fillId="14" borderId="1" applyNumberFormat="0" applyBorder="0" applyAlignment="0" applyProtection="0"/>
    <xf numFmtId="0" fontId="122" fillId="4" borderId="181" applyNumberFormat="0" applyFill="0" applyAlignment="0" applyProtection="0"/>
    <xf numFmtId="0" fontId="123" fillId="4" borderId="182" applyNumberFormat="0" applyFill="0" applyAlignment="0" applyProtection="0"/>
    <xf numFmtId="0" fontId="124" fillId="4" borderId="183" applyNumberFormat="0" applyFill="0" applyAlignment="0" applyProtection="0"/>
    <xf numFmtId="0" fontId="124" fillId="4" borderId="1" applyNumberFormat="0" applyFill="0" applyBorder="0" applyAlignment="0" applyProtection="0"/>
    <xf numFmtId="0" fontId="125" fillId="4" borderId="1" applyNumberFormat="0" applyFill="0" applyBorder="0" applyAlignment="0" applyProtection="0">
      <alignment vertical="top"/>
      <protection locked="0"/>
    </xf>
    <xf numFmtId="0" fontId="64" fillId="37" borderId="177" applyNumberFormat="0" applyBorder="0" applyProtection="0"/>
    <xf numFmtId="166" fontId="61" fillId="4" borderId="1" applyFont="0" applyFill="0" applyBorder="0" applyAlignment="0" applyProtection="0"/>
    <xf numFmtId="3" fontId="61" fillId="4" borderId="1" applyFont="0" applyFill="0" applyBorder="0" applyAlignment="0" applyProtection="0"/>
    <xf numFmtId="10" fontId="121" fillId="38" borderId="60" applyNumberFormat="0" applyBorder="0" applyAlignment="0" applyProtection="0"/>
    <xf numFmtId="0" fontId="126" fillId="20" borderId="178" applyNumberFormat="0" applyAlignment="0" applyProtection="0"/>
    <xf numFmtId="0" fontId="126" fillId="20" borderId="178" applyNumberFormat="0" applyAlignment="0" applyProtection="0"/>
    <xf numFmtId="3" fontId="64" fillId="39" borderId="1" applyNumberFormat="0" applyBorder="0"/>
    <xf numFmtId="166" fontId="127" fillId="4" borderId="1"/>
    <xf numFmtId="0" fontId="128" fillId="4" borderId="184" applyNumberFormat="0" applyFill="0" applyAlignment="0" applyProtection="0"/>
    <xf numFmtId="182" fontId="115" fillId="4" borderId="1" applyFont="0" applyFill="0" applyBorder="0" applyAlignment="0" applyProtection="0"/>
    <xf numFmtId="172" fontId="108" fillId="4" borderId="1" applyFont="0" applyFill="0" applyBorder="0" applyAlignment="0" applyProtection="0"/>
    <xf numFmtId="170" fontId="108" fillId="4" borderId="1" applyFont="0" applyFill="0" applyBorder="0" applyAlignment="0" applyProtection="0"/>
    <xf numFmtId="41" fontId="108" fillId="4" borderId="1" applyFont="0" applyFill="0" applyBorder="0" applyAlignment="0" applyProtection="0"/>
    <xf numFmtId="43" fontId="108" fillId="4" borderId="1" applyFont="0" applyFill="0" applyBorder="0" applyAlignment="0" applyProtection="0"/>
    <xf numFmtId="5" fontId="115" fillId="4" borderId="1" applyFont="0" applyFill="0" applyBorder="0" applyAlignment="0" applyProtection="0"/>
    <xf numFmtId="0" fontId="64" fillId="40" borderId="177" applyNumberFormat="0"/>
    <xf numFmtId="3" fontId="64" fillId="41" borderId="177" applyNumberFormat="0" applyFont="0" applyAlignment="0"/>
    <xf numFmtId="183" fontId="108" fillId="4" borderId="1" applyFont="0" applyFill="0" applyBorder="0" applyAlignment="0" applyProtection="0"/>
    <xf numFmtId="184" fontId="108" fillId="4" borderId="1" applyFont="0" applyFill="0" applyBorder="0" applyAlignment="0" applyProtection="0"/>
    <xf numFmtId="42" fontId="108" fillId="4" borderId="1" applyFont="0" applyFill="0" applyBorder="0" applyAlignment="0" applyProtection="0"/>
    <xf numFmtId="44" fontId="108" fillId="4" borderId="1" applyFont="0" applyFill="0" applyBorder="0" applyAlignment="0" applyProtection="0"/>
    <xf numFmtId="0" fontId="129" fillId="42" borderId="1" applyNumberFormat="0" applyBorder="0" applyAlignment="0" applyProtection="0"/>
    <xf numFmtId="0" fontId="130" fillId="4" borderId="1"/>
    <xf numFmtId="0" fontId="131" fillId="4" borderId="1"/>
    <xf numFmtId="0" fontId="117" fillId="4" borderId="1"/>
    <xf numFmtId="0" fontId="117" fillId="4" borderId="1"/>
    <xf numFmtId="0" fontId="117" fillId="4" borderId="1"/>
    <xf numFmtId="0" fontId="117" fillId="4" borderId="1"/>
    <xf numFmtId="0" fontId="111" fillId="4" borderId="1"/>
    <xf numFmtId="0" fontId="11" fillId="4" borderId="1"/>
    <xf numFmtId="0" fontId="11" fillId="4" borderId="1" applyNumberFormat="0" applyFill="0" applyBorder="0" applyAlignment="0" applyProtection="0"/>
    <xf numFmtId="0" fontId="11" fillId="4" borderId="1">
      <alignment vertical="top"/>
    </xf>
    <xf numFmtId="0" fontId="11" fillId="4" borderId="1" applyNumberFormat="0" applyFill="0" applyBorder="0" applyAlignment="0" applyProtection="0"/>
    <xf numFmtId="0" fontId="11" fillId="4" borderId="1"/>
    <xf numFmtId="0" fontId="64" fillId="4" borderId="1"/>
    <xf numFmtId="0" fontId="11" fillId="4" borderId="1"/>
    <xf numFmtId="0" fontId="64" fillId="4" borderId="1"/>
    <xf numFmtId="0" fontId="11" fillId="4" borderId="1">
      <alignment vertical="top"/>
    </xf>
    <xf numFmtId="185" fontId="83" fillId="4" borderId="1" applyFill="0" applyBorder="0" applyAlignment="0" applyProtection="0">
      <alignment horizontal="right"/>
    </xf>
    <xf numFmtId="0" fontId="11" fillId="4" borderId="1"/>
    <xf numFmtId="0" fontId="64" fillId="43" borderId="177" applyNumberFormat="0" applyFont="0" applyAlignment="0" applyProtection="0"/>
    <xf numFmtId="0" fontId="132" fillId="34" borderId="185" applyNumberFormat="0" applyAlignment="0" applyProtection="0"/>
    <xf numFmtId="40" fontId="133" fillId="38" borderId="1">
      <alignment horizontal="right"/>
    </xf>
    <xf numFmtId="10" fontId="64" fillId="4" borderId="1" applyFont="0" applyFill="0" applyBorder="0" applyAlignment="0" applyProtection="0"/>
    <xf numFmtId="9" fontId="11" fillId="4" borderId="1" applyFont="0" applyFill="0" applyBorder="0" applyAlignment="0" applyProtection="0"/>
    <xf numFmtId="9" fontId="64" fillId="4" borderId="1" applyFont="0" applyFill="0" applyBorder="0" applyAlignment="0" applyProtection="0"/>
    <xf numFmtId="9" fontId="18" fillId="4" borderId="1" applyFont="0" applyFill="0" applyBorder="0" applyAlignment="0" applyProtection="0"/>
    <xf numFmtId="186" fontId="61" fillId="4" borderId="1" applyFont="0" applyFill="0" applyBorder="0" applyAlignment="0" applyProtection="0"/>
    <xf numFmtId="187" fontId="61" fillId="4" borderId="1" applyFont="0" applyFill="0" applyBorder="0" applyAlignment="0" applyProtection="0"/>
    <xf numFmtId="188" fontId="61" fillId="4" borderId="1" applyFont="0" applyFill="0" applyBorder="0" applyAlignment="0" applyProtection="0"/>
    <xf numFmtId="2" fontId="115" fillId="4" borderId="1" applyFont="0" applyFill="0" applyBorder="0" applyAlignment="0" applyProtection="0"/>
    <xf numFmtId="189" fontId="83" fillId="4" borderId="1" applyFill="0" applyBorder="0" applyAlignment="0">
      <alignment horizontal="centerContinuous"/>
    </xf>
    <xf numFmtId="3" fontId="64" fillId="44" borderId="177" applyNumberFormat="0"/>
    <xf numFmtId="0" fontId="61" fillId="4" borderId="1"/>
    <xf numFmtId="0" fontId="134" fillId="4" borderId="1"/>
    <xf numFmtId="0" fontId="110" fillId="4" borderId="1">
      <alignment vertical="top"/>
    </xf>
    <xf numFmtId="0" fontId="64" fillId="4" borderId="1" applyNumberFormat="0"/>
    <xf numFmtId="0" fontId="135" fillId="4" borderId="1" applyNumberFormat="0" applyFill="0" applyBorder="0" applyAlignment="0" applyProtection="0"/>
    <xf numFmtId="0" fontId="136" fillId="4" borderId="186" applyNumberFormat="0" applyFill="0" applyAlignment="0" applyProtection="0"/>
    <xf numFmtId="0" fontId="137" fillId="4" borderId="1" applyNumberFormat="0" applyFill="0" applyBorder="0" applyAlignment="0" applyProtection="0"/>
    <xf numFmtId="0" fontId="80" fillId="4" borderId="1" applyNumberFormat="0" applyFont="0" applyFill="0" applyBorder="0" applyAlignment="0" applyProtection="0">
      <alignment vertical="top"/>
    </xf>
    <xf numFmtId="0" fontId="138" fillId="4" borderId="1" applyNumberFormat="0" applyFont="0" applyFill="0" applyBorder="0" applyAlignment="0" applyProtection="0">
      <alignment vertical="top"/>
    </xf>
    <xf numFmtId="0" fontId="138" fillId="4" borderId="1" applyNumberFormat="0" applyFont="0" applyFill="0" applyBorder="0" applyAlignment="0" applyProtection="0">
      <alignment vertical="top"/>
    </xf>
    <xf numFmtId="0" fontId="80" fillId="4" borderId="1" applyNumberFormat="0" applyFont="0" applyFill="0" applyBorder="0" applyAlignment="0" applyProtection="0"/>
    <xf numFmtId="0" fontId="80" fillId="4" borderId="1" applyNumberFormat="0" applyFont="0" applyFill="0" applyBorder="0" applyAlignment="0" applyProtection="0">
      <alignment horizontal="left" vertical="top"/>
    </xf>
    <xf numFmtId="0" fontId="80" fillId="4" borderId="1" applyNumberFormat="0" applyFont="0" applyFill="0" applyBorder="0" applyAlignment="0" applyProtection="0">
      <alignment horizontal="left" vertical="top"/>
    </xf>
    <xf numFmtId="0" fontId="80" fillId="4" borderId="1" applyNumberFormat="0" applyFont="0" applyFill="0" applyBorder="0" applyAlignment="0" applyProtection="0">
      <alignment horizontal="left" vertical="top"/>
    </xf>
    <xf numFmtId="0" fontId="83" fillId="4" borderId="1"/>
    <xf numFmtId="0" fontId="139" fillId="4" borderId="1">
      <alignment horizontal="left" wrapText="1"/>
    </xf>
    <xf numFmtId="0" fontId="140" fillId="4" borderId="69" applyNumberFormat="0" applyFont="0" applyFill="0" applyBorder="0" applyAlignment="0" applyProtection="0">
      <alignment horizontal="center" wrapText="1"/>
    </xf>
    <xf numFmtId="190" fontId="61" fillId="4" borderId="1" applyNumberFormat="0" applyFont="0" applyFill="0" applyBorder="0" applyAlignment="0" applyProtection="0">
      <alignment horizontal="right"/>
    </xf>
    <xf numFmtId="0" fontId="140" fillId="4" borderId="1" applyNumberFormat="0" applyFont="0" applyFill="0" applyBorder="0" applyAlignment="0" applyProtection="0">
      <alignment horizontal="left" indent="1"/>
    </xf>
    <xf numFmtId="191" fontId="140" fillId="4" borderId="1" applyNumberFormat="0" applyFont="0" applyFill="0" applyBorder="0" applyAlignment="0" applyProtection="0"/>
    <xf numFmtId="0" fontId="83" fillId="4" borderId="69" applyNumberFormat="0" applyFont="0" applyFill="0" applyAlignment="0" applyProtection="0">
      <alignment horizontal="center"/>
    </xf>
    <xf numFmtId="0" fontId="83" fillId="4" borderId="1" applyNumberFormat="0" applyFont="0" applyFill="0" applyBorder="0" applyAlignment="0" applyProtection="0">
      <alignment horizontal="left" wrapText="1" indent="1"/>
    </xf>
    <xf numFmtId="0" fontId="140" fillId="4" borderId="1" applyNumberFormat="0" applyFont="0" applyFill="0" applyBorder="0" applyAlignment="0" applyProtection="0">
      <alignment horizontal="left" indent="1"/>
    </xf>
    <xf numFmtId="0" fontId="83" fillId="4" borderId="1" applyNumberFormat="0" applyFont="0" applyFill="0" applyBorder="0" applyAlignment="0" applyProtection="0">
      <alignment horizontal="left" wrapText="1" indent="2"/>
    </xf>
    <xf numFmtId="192" fontId="83" fillId="4" borderId="1">
      <alignment horizontal="right"/>
    </xf>
    <xf numFmtId="0" fontId="141" fillId="4" borderId="1" applyNumberFormat="0" applyFill="0" applyBorder="0" applyAlignment="0" applyProtection="0"/>
    <xf numFmtId="0" fontId="142" fillId="4" borderId="1" applyNumberFormat="0" applyFill="0" applyBorder="0" applyAlignment="0" applyProtection="0"/>
    <xf numFmtId="169" fontId="86" fillId="4" borderId="1">
      <alignment horizontal="right"/>
    </xf>
    <xf numFmtId="0" fontId="143" fillId="4" borderId="1" applyProtection="0"/>
    <xf numFmtId="193" fontId="143" fillId="4" borderId="1" applyProtection="0"/>
    <xf numFmtId="0" fontId="144" fillId="4" borderId="1" applyProtection="0"/>
    <xf numFmtId="0" fontId="145" fillId="4" borderId="1" applyProtection="0"/>
    <xf numFmtId="0" fontId="143" fillId="4" borderId="187" applyProtection="0"/>
    <xf numFmtId="0" fontId="143" fillId="4" borderId="1"/>
    <xf numFmtId="10" fontId="143" fillId="4" borderId="1" applyProtection="0"/>
    <xf numFmtId="0" fontId="143" fillId="4" borderId="1"/>
    <xf numFmtId="2" fontId="143" fillId="4" borderId="1" applyProtection="0"/>
    <xf numFmtId="4" fontId="143" fillId="4" borderId="1" applyProtection="0"/>
    <xf numFmtId="0" fontId="18" fillId="4" borderId="1"/>
    <xf numFmtId="0" fontId="18" fillId="4" borderId="1"/>
    <xf numFmtId="0" fontId="11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8" fillId="4" borderId="1"/>
    <xf numFmtId="0" fontId="133" fillId="4" borderId="1">
      <alignment vertical="top"/>
    </xf>
    <xf numFmtId="3" fontId="11" fillId="33" borderId="177" applyNumberFormat="0"/>
    <xf numFmtId="0" fontId="117" fillId="4" borderId="1"/>
    <xf numFmtId="0" fontId="117" fillId="4" borderId="1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173" fontId="11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173" fontId="11" fillId="4" borderId="1" applyFont="0" applyFill="0" applyBorder="0" applyAlignment="0" applyProtection="0"/>
    <xf numFmtId="173" fontId="11" fillId="4" borderId="1" applyFont="0" applyFill="0" applyBorder="0" applyAlignment="0" applyProtection="0"/>
    <xf numFmtId="43" fontId="18" fillId="4" borderId="1" applyFont="0" applyFill="0" applyBorder="0" applyAlignment="0" applyProtection="0"/>
    <xf numFmtId="170" fontId="18" fillId="4" borderId="1" applyFont="0" applyFill="0" applyBorder="0" applyAlignment="0" applyProtection="0"/>
    <xf numFmtId="170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179" fontId="118" fillId="4" borderId="1">
      <alignment horizontal="right" vertical="top"/>
    </xf>
    <xf numFmtId="179" fontId="118" fillId="4" borderId="1">
      <alignment horizontal="right" vertical="top"/>
    </xf>
    <xf numFmtId="0" fontId="117" fillId="4" borderId="1"/>
    <xf numFmtId="0" fontId="117" fillId="4" borderId="1"/>
    <xf numFmtId="0" fontId="117" fillId="4" borderId="1"/>
    <xf numFmtId="0" fontId="117" fillId="4" borderId="1"/>
    <xf numFmtId="0" fontId="11" fillId="14" borderId="1" applyNumberFormat="0" applyBorder="0" applyProtection="0"/>
    <xf numFmtId="181" fontId="11" fillId="4" borderId="1" applyFont="0" applyFill="0" applyBorder="0" applyAlignment="0" applyProtection="0"/>
    <xf numFmtId="168" fontId="11" fillId="36" borderId="176" applyNumberFormat="0" applyFont="0" applyBorder="0" applyAlignment="0" applyProtection="0">
      <alignment horizontal="right"/>
    </xf>
    <xf numFmtId="38" fontId="46" fillId="14" borderId="1" applyNumberFormat="0" applyBorder="0" applyAlignment="0" applyProtection="0"/>
    <xf numFmtId="38" fontId="46" fillId="14" borderId="1" applyNumberFormat="0" applyBorder="0" applyAlignment="0" applyProtection="0"/>
    <xf numFmtId="0" fontId="11" fillId="37" borderId="177" applyNumberFormat="0" applyBorder="0" applyProtection="0"/>
    <xf numFmtId="10" fontId="46" fillId="38" borderId="60" applyNumberFormat="0" applyBorder="0" applyAlignment="0" applyProtection="0"/>
    <xf numFmtId="10" fontId="46" fillId="38" borderId="60" applyNumberFormat="0" applyBorder="0" applyAlignment="0" applyProtection="0"/>
    <xf numFmtId="0" fontId="126" fillId="20" borderId="178" applyNumberFormat="0" applyAlignment="0" applyProtection="0"/>
    <xf numFmtId="3" fontId="11" fillId="39" borderId="1" applyNumberFormat="0" applyBorder="0"/>
    <xf numFmtId="0" fontId="11" fillId="40" borderId="177" applyNumberFormat="0"/>
    <xf numFmtId="3" fontId="11" fillId="41" borderId="177" applyNumberFormat="0" applyFont="0" applyAlignment="0"/>
    <xf numFmtId="0" fontId="117" fillId="4" borderId="1"/>
    <xf numFmtId="0" fontId="117" fillId="4" borderId="1"/>
    <xf numFmtId="0" fontId="117" fillId="4" borderId="1"/>
    <xf numFmtId="0" fontId="117" fillId="4" borderId="1"/>
    <xf numFmtId="0" fontId="117" fillId="4" borderId="1"/>
    <xf numFmtId="0" fontId="117" fillId="4" borderId="1"/>
    <xf numFmtId="0" fontId="117" fillId="4" borderId="1"/>
    <xf numFmtId="0" fontId="117" fillId="4" borderId="1"/>
    <xf numFmtId="0" fontId="11" fillId="4" borderId="1"/>
    <xf numFmtId="0" fontId="11" fillId="4" borderId="1"/>
    <xf numFmtId="0" fontId="11" fillId="4" borderId="1"/>
    <xf numFmtId="0" fontId="11" fillId="4" borderId="1">
      <alignment vertical="top"/>
    </xf>
    <xf numFmtId="0" fontId="11" fillId="4" borderId="1">
      <alignment vertical="top"/>
    </xf>
    <xf numFmtId="0" fontId="18" fillId="4" borderId="1"/>
    <xf numFmtId="0" fontId="11" fillId="4" borderId="1"/>
    <xf numFmtId="0" fontId="18" fillId="4" borderId="1"/>
    <xf numFmtId="0" fontId="11" fillId="4" borderId="1"/>
    <xf numFmtId="185" fontId="83" fillId="4" borderId="1" applyFill="0" applyBorder="0" applyAlignment="0" applyProtection="0">
      <alignment horizontal="right"/>
    </xf>
    <xf numFmtId="0" fontId="11" fillId="4" borderId="1"/>
    <xf numFmtId="0" fontId="11" fillId="43" borderId="177" applyNumberFormat="0" applyFont="0" applyAlignment="0" applyProtection="0"/>
    <xf numFmtId="0" fontId="11" fillId="43" borderId="177" applyNumberFormat="0" applyFont="0" applyAlignment="0" applyProtection="0"/>
    <xf numFmtId="40" fontId="133" fillId="38" borderId="1">
      <alignment horizontal="right"/>
    </xf>
    <xf numFmtId="10" fontId="11" fillId="4" borderId="1" applyFont="0" applyFill="0" applyBorder="0" applyAlignment="0" applyProtection="0"/>
    <xf numFmtId="9" fontId="11" fillId="4" borderId="1" applyFont="0" applyFill="0" applyBorder="0" applyAlignment="0" applyProtection="0"/>
    <xf numFmtId="9" fontId="11" fillId="4" borderId="1" applyFont="0" applyFill="0" applyBorder="0" applyAlignment="0" applyProtection="0"/>
    <xf numFmtId="9" fontId="11" fillId="4" borderId="1" applyFont="0" applyFill="0" applyBorder="0" applyAlignment="0" applyProtection="0"/>
    <xf numFmtId="9" fontId="11" fillId="4" borderId="1" applyFont="0" applyFill="0" applyBorder="0" applyAlignment="0" applyProtection="0"/>
    <xf numFmtId="189" fontId="83" fillId="4" borderId="1" applyFill="0" applyBorder="0" applyAlignment="0">
      <alignment horizontal="centerContinuous"/>
    </xf>
    <xf numFmtId="3" fontId="11" fillId="44" borderId="177" applyNumberFormat="0"/>
    <xf numFmtId="0" fontId="133" fillId="4" borderId="1">
      <alignment vertical="top"/>
    </xf>
    <xf numFmtId="0" fontId="11" fillId="4" borderId="1" applyNumberFormat="0"/>
    <xf numFmtId="0" fontId="83" fillId="4" borderId="1"/>
    <xf numFmtId="0" fontId="83" fillId="4" borderId="69" applyNumberFormat="0" applyFont="0" applyFill="0" applyAlignment="0" applyProtection="0">
      <alignment horizontal="center"/>
    </xf>
    <xf numFmtId="0" fontId="83" fillId="4" borderId="1" applyNumberFormat="0" applyFont="0" applyFill="0" applyBorder="0" applyAlignment="0" applyProtection="0">
      <alignment horizontal="left" wrapText="1" indent="1"/>
    </xf>
    <xf numFmtId="0" fontId="83" fillId="4" borderId="1" applyNumberFormat="0" applyFont="0" applyFill="0" applyBorder="0" applyAlignment="0" applyProtection="0">
      <alignment horizontal="left" wrapText="1" indent="2"/>
    </xf>
    <xf numFmtId="192" fontId="83" fillId="4" borderId="1">
      <alignment horizontal="right"/>
    </xf>
    <xf numFmtId="169" fontId="104" fillId="4" borderId="1">
      <alignment horizontal="right"/>
    </xf>
    <xf numFmtId="169" fontId="104" fillId="4" borderId="1">
      <alignment horizontal="right"/>
    </xf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0" fontId="18" fillId="4" borderId="1"/>
    <xf numFmtId="166" fontId="11" fillId="4" borderId="1" applyFill="0" applyBorder="0" applyAlignment="0" applyProtection="0"/>
    <xf numFmtId="166" fontId="11" fillId="4" borderId="1" applyFill="0" applyBorder="0" applyAlignment="0" applyProtection="0"/>
    <xf numFmtId="43" fontId="11" fillId="4" borderId="1" applyFont="0" applyFill="0" applyBorder="0" applyAlignment="0" applyProtection="0"/>
    <xf numFmtId="43" fontId="11" fillId="4" borderId="1" applyFont="0" applyFill="0" applyBorder="0" applyAlignment="0" applyProtection="0"/>
    <xf numFmtId="0" fontId="11" fillId="4" borderId="1"/>
    <xf numFmtId="9" fontId="11" fillId="4" borderId="1" applyFont="0" applyFill="0" applyBorder="0" applyAlignment="0" applyProtection="0"/>
    <xf numFmtId="43" fontId="11" fillId="4" borderId="1" applyFont="0" applyFill="0" applyBorder="0" applyAlignment="0" applyProtection="0"/>
    <xf numFmtId="0" fontId="64" fillId="4" borderId="1"/>
    <xf numFmtId="0" fontId="64" fillId="4" borderId="1"/>
    <xf numFmtId="43" fontId="11" fillId="4" borderId="1" applyFont="0" applyFill="0" applyBorder="0" applyAlignment="0" applyProtection="0"/>
    <xf numFmtId="43" fontId="11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0" fontId="11" fillId="4" borderId="1"/>
    <xf numFmtId="43" fontId="11" fillId="4" borderId="1" applyFont="0" applyFill="0" applyBorder="0" applyAlignment="0" applyProtection="0"/>
    <xf numFmtId="43" fontId="11" fillId="4" borderId="1" applyFont="0" applyFill="0" applyBorder="0" applyAlignment="0" applyProtection="0"/>
    <xf numFmtId="43" fontId="11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0" fontId="18" fillId="4" borderId="1"/>
    <xf numFmtId="43" fontId="18" fillId="4" borderId="1" applyFont="0" applyFill="0" applyBorder="0" applyAlignment="0" applyProtection="0"/>
    <xf numFmtId="0" fontId="18" fillId="4" borderId="1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0" fontId="18" fillId="4" borderId="1"/>
    <xf numFmtId="9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0" fontId="18" fillId="4" borderId="1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0" fontId="18" fillId="4" borderId="1"/>
    <xf numFmtId="0" fontId="18" fillId="4" borderId="1"/>
    <xf numFmtId="9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9" fontId="18" fillId="4" borderId="1" applyFont="0" applyFill="0" applyBorder="0" applyAlignment="0" applyProtection="0"/>
    <xf numFmtId="9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0" fontId="18" fillId="4" borderId="1"/>
    <xf numFmtId="43" fontId="18" fillId="4" borderId="1" applyFont="0" applyFill="0" applyBorder="0" applyAlignment="0" applyProtection="0"/>
    <xf numFmtId="0" fontId="18" fillId="4" borderId="1"/>
    <xf numFmtId="43" fontId="18" fillId="4" borderId="1" applyFont="0" applyFill="0" applyBorder="0" applyAlignment="0" applyProtection="0"/>
    <xf numFmtId="0" fontId="18" fillId="4" borderId="1"/>
    <xf numFmtId="0" fontId="18" fillId="4" borderId="1"/>
    <xf numFmtId="43" fontId="18" fillId="4" borderId="1" applyFont="0" applyFill="0" applyBorder="0" applyAlignment="0" applyProtection="0"/>
    <xf numFmtId="0" fontId="18" fillId="4" borderId="1"/>
    <xf numFmtId="0" fontId="18" fillId="4" borderId="1"/>
    <xf numFmtId="0" fontId="18" fillId="4" borderId="1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0" fontId="18" fillId="4" borderId="1"/>
    <xf numFmtId="0" fontId="18" fillId="4" borderId="1"/>
    <xf numFmtId="0" fontId="18" fillId="4" borderId="1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0" fontId="18" fillId="4" borderId="1"/>
    <xf numFmtId="43" fontId="18" fillId="4" borderId="1" applyFont="0" applyFill="0" applyBorder="0" applyAlignment="0" applyProtection="0"/>
    <xf numFmtId="0" fontId="18" fillId="4" borderId="1"/>
    <xf numFmtId="0" fontId="18" fillId="4" borderId="1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0" fontId="18" fillId="4" borderId="1"/>
    <xf numFmtId="43" fontId="18" fillId="4" borderId="1" applyFont="0" applyFill="0" applyBorder="0" applyAlignment="0" applyProtection="0"/>
    <xf numFmtId="0" fontId="18" fillId="4" borderId="1"/>
    <xf numFmtId="43" fontId="18" fillId="4" borderId="1" applyFont="0" applyFill="0" applyBorder="0" applyAlignment="0" applyProtection="0"/>
    <xf numFmtId="0" fontId="18" fillId="4" borderId="1"/>
    <xf numFmtId="43" fontId="18" fillId="4" borderId="1" applyFont="0" applyFill="0" applyBorder="0" applyAlignment="0" applyProtection="0"/>
    <xf numFmtId="0" fontId="18" fillId="4" borderId="1"/>
    <xf numFmtId="0" fontId="18" fillId="4" borderId="1"/>
    <xf numFmtId="0" fontId="18" fillId="4" borderId="1"/>
    <xf numFmtId="43" fontId="18" fillId="4" borderId="1" applyFont="0" applyFill="0" applyBorder="0" applyAlignment="0" applyProtection="0"/>
    <xf numFmtId="0" fontId="18" fillId="4" borderId="1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9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0" fontId="18" fillId="4" borderId="1"/>
    <xf numFmtId="0" fontId="18" fillId="4" borderId="1"/>
    <xf numFmtId="43" fontId="18" fillId="4" borderId="1" applyFont="0" applyFill="0" applyBorder="0" applyAlignment="0" applyProtection="0"/>
    <xf numFmtId="0" fontId="18" fillId="4" borderId="1"/>
    <xf numFmtId="0" fontId="18" fillId="4" borderId="1"/>
    <xf numFmtId="0" fontId="18" fillId="4" borderId="1"/>
    <xf numFmtId="0" fontId="18" fillId="4" borderId="1"/>
    <xf numFmtId="43" fontId="18" fillId="4" borderId="1" applyFont="0" applyFill="0" applyBorder="0" applyAlignment="0" applyProtection="0"/>
    <xf numFmtId="9" fontId="18" fillId="4" borderId="1" applyFont="0" applyFill="0" applyBorder="0" applyAlignment="0" applyProtection="0"/>
    <xf numFmtId="9" fontId="18" fillId="4" borderId="1" applyFont="0" applyFill="0" applyBorder="0" applyAlignment="0" applyProtection="0"/>
    <xf numFmtId="43" fontId="18" fillId="4" borderId="1" applyFont="0" applyFill="0" applyBorder="0" applyAlignment="0" applyProtection="0"/>
    <xf numFmtId="0" fontId="18" fillId="4" borderId="1"/>
    <xf numFmtId="0" fontId="18" fillId="4" borderId="1"/>
    <xf numFmtId="43" fontId="18" fillId="4" borderId="1" applyFont="0" applyFill="0" applyBorder="0" applyAlignment="0" applyProtection="0"/>
    <xf numFmtId="9" fontId="18" fillId="4" borderId="1" applyFont="0" applyFill="0" applyBorder="0" applyAlignment="0" applyProtection="0"/>
    <xf numFmtId="0" fontId="18" fillId="4" borderId="1"/>
    <xf numFmtId="43" fontId="18" fillId="4" borderId="1" applyFont="0" applyFill="0" applyBorder="0" applyAlignment="0" applyProtection="0"/>
    <xf numFmtId="0" fontId="18" fillId="4" borderId="1"/>
    <xf numFmtId="43" fontId="18" fillId="4" borderId="1" applyFont="0" applyFill="0" applyBorder="0" applyAlignment="0" applyProtection="0"/>
  </cellStyleXfs>
  <cellXfs count="1377">
    <xf numFmtId="0" fontId="0" fillId="0" borderId="0" xfId="0"/>
    <xf numFmtId="3" fontId="8" fillId="2" borderId="6" xfId="0" applyNumberFormat="1" applyFont="1" applyFill="1" applyBorder="1" applyAlignment="1" applyProtection="1">
      <alignment horizontal="right" vertical="center"/>
    </xf>
    <xf numFmtId="0" fontId="0" fillId="4" borderId="1" xfId="0" applyNumberFormat="1" applyFont="1" applyFill="1" applyBorder="1" applyAlignment="1" applyProtection="1">
      <alignment wrapText="1"/>
      <protection locked="0"/>
    </xf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5" fillId="3" borderId="10" xfId="0" applyNumberFormat="1" applyFont="1" applyFill="1" applyBorder="1" applyAlignment="1" applyProtection="1">
      <alignment horizontal="center" vertical="center" wrapText="1"/>
    </xf>
    <xf numFmtId="0" fontId="5" fillId="3" borderId="11" xfId="0" applyNumberFormat="1" applyFont="1" applyFill="1" applyBorder="1" applyAlignment="1" applyProtection="1">
      <alignment horizontal="center" vertical="center" wrapText="1"/>
    </xf>
    <xf numFmtId="0" fontId="5" fillId="3" borderId="12" xfId="0" applyNumberFormat="1" applyFont="1" applyFill="1" applyBorder="1" applyAlignment="1" applyProtection="1">
      <alignment horizontal="center" vertical="center" wrapText="1"/>
    </xf>
    <xf numFmtId="0" fontId="5" fillId="3" borderId="13" xfId="0" applyNumberFormat="1" applyFont="1" applyFill="1" applyBorder="1" applyAlignment="1" applyProtection="1">
      <alignment horizontal="center" vertical="center" wrapText="1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/>
    </xf>
    <xf numFmtId="4" fontId="7" fillId="2" borderId="33" xfId="0" applyNumberFormat="1" applyFont="1" applyFill="1" applyBorder="1" applyAlignment="1" applyProtection="1">
      <alignment horizontal="right" vertical="center"/>
    </xf>
    <xf numFmtId="3" fontId="7" fillId="2" borderId="33" xfId="0" applyNumberFormat="1" applyFont="1" applyFill="1" applyBorder="1" applyAlignment="1" applyProtection="1">
      <alignment horizontal="right" vertical="center"/>
    </xf>
    <xf numFmtId="4" fontId="8" fillId="2" borderId="33" xfId="0" applyNumberFormat="1" applyFont="1" applyFill="1" applyBorder="1" applyAlignment="1" applyProtection="1">
      <alignment horizontal="right" vertical="center"/>
    </xf>
    <xf numFmtId="3" fontId="8" fillId="2" borderId="33" xfId="0" applyNumberFormat="1" applyFont="1" applyFill="1" applyBorder="1" applyAlignment="1" applyProtection="1">
      <alignment horizontal="right" vertical="center"/>
    </xf>
    <xf numFmtId="0" fontId="7" fillId="2" borderId="33" xfId="0" applyNumberFormat="1" applyFont="1" applyFill="1" applyBorder="1" applyAlignment="1" applyProtection="1">
      <alignment horizontal="left" vertical="center" wrapText="1"/>
    </xf>
    <xf numFmtId="0" fontId="8" fillId="2" borderId="33" xfId="0" applyNumberFormat="1" applyFont="1" applyFill="1" applyBorder="1" applyAlignment="1" applyProtection="1">
      <alignment horizontal="left" vertical="center" wrapText="1"/>
    </xf>
    <xf numFmtId="0" fontId="10" fillId="4" borderId="8" xfId="0" applyNumberFormat="1" applyFont="1" applyFill="1" applyBorder="1" applyAlignment="1" applyProtection="1">
      <alignment horizontal="left"/>
    </xf>
    <xf numFmtId="0" fontId="0" fillId="4" borderId="1" xfId="11" applyNumberFormat="1" applyFont="1" applyFill="1" applyBorder="1" applyAlignment="1" applyProtection="1">
      <alignment wrapText="1"/>
      <protection locked="0"/>
    </xf>
    <xf numFmtId="0" fontId="15" fillId="4" borderId="40" xfId="0" applyNumberFormat="1" applyFont="1" applyFill="1" applyBorder="1" applyAlignment="1" applyProtection="1">
      <alignment horizontal="center" vertical="center"/>
    </xf>
    <xf numFmtId="0" fontId="15" fillId="4" borderId="8" xfId="0" applyNumberFormat="1" applyFont="1" applyFill="1" applyBorder="1" applyAlignment="1" applyProtection="1">
      <alignment horizontal="center" vertical="center" wrapText="1"/>
    </xf>
    <xf numFmtId="0" fontId="15" fillId="4" borderId="40" xfId="0" applyNumberFormat="1" applyFont="1" applyFill="1" applyBorder="1" applyAlignment="1" applyProtection="1">
      <alignment horizontal="center" vertical="center" wrapText="1"/>
    </xf>
    <xf numFmtId="0" fontId="17" fillId="4" borderId="32" xfId="0" applyNumberFormat="1" applyFont="1" applyFill="1" applyBorder="1" applyAlignment="1" applyProtection="1">
      <alignment horizontal="center" vertical="center"/>
    </xf>
    <xf numFmtId="0" fontId="17" fillId="4" borderId="33" xfId="0" applyNumberFormat="1" applyFont="1" applyFill="1" applyBorder="1" applyAlignment="1" applyProtection="1">
      <alignment horizontal="left" vertical="center" wrapText="1"/>
    </xf>
    <xf numFmtId="0" fontId="17" fillId="4" borderId="33" xfId="0" applyNumberFormat="1" applyFont="1" applyFill="1" applyBorder="1" applyAlignment="1" applyProtection="1">
      <alignment horizontal="left" vertical="center"/>
    </xf>
    <xf numFmtId="3" fontId="17" fillId="4" borderId="6" xfId="0" applyNumberFormat="1" applyFont="1" applyFill="1" applyBorder="1" applyAlignment="1" applyProtection="1">
      <alignment horizontal="right" vertical="center"/>
    </xf>
    <xf numFmtId="0" fontId="5" fillId="3" borderId="44" xfId="0" applyNumberFormat="1" applyFont="1" applyFill="1" applyBorder="1" applyAlignment="1" applyProtection="1">
      <alignment horizontal="right" vertical="center"/>
    </xf>
    <xf numFmtId="164" fontId="5" fillId="3" borderId="45" xfId="0" applyNumberFormat="1" applyFont="1" applyFill="1" applyBorder="1" applyAlignment="1" applyProtection="1">
      <alignment horizontal="left" vertical="center"/>
    </xf>
    <xf numFmtId="0" fontId="7" fillId="2" borderId="33" xfId="0" applyNumberFormat="1" applyFont="1" applyFill="1" applyBorder="1" applyAlignment="1" applyProtection="1">
      <alignment horizontal="left" vertical="center"/>
    </xf>
    <xf numFmtId="0" fontId="8" fillId="2" borderId="32" xfId="0" applyNumberFormat="1" applyFont="1" applyFill="1" applyBorder="1" applyAlignment="1" applyProtection="1">
      <alignment horizontal="center" vertical="center"/>
    </xf>
    <xf numFmtId="0" fontId="8" fillId="2" borderId="33" xfId="0" applyNumberFormat="1" applyFont="1" applyFill="1" applyBorder="1" applyAlignment="1" applyProtection="1">
      <alignment horizontal="left" vertical="center"/>
    </xf>
    <xf numFmtId="0" fontId="5" fillId="2" borderId="32" xfId="0" applyNumberFormat="1" applyFont="1" applyFill="1" applyBorder="1" applyAlignment="1" applyProtection="1">
      <alignment horizontal="center" vertical="center"/>
    </xf>
    <xf numFmtId="0" fontId="5" fillId="2" borderId="33" xfId="0" applyNumberFormat="1" applyFont="1" applyFill="1" applyBorder="1" applyAlignment="1" applyProtection="1">
      <alignment horizontal="left" vertical="center"/>
    </xf>
    <xf numFmtId="4" fontId="5" fillId="2" borderId="33" xfId="0" applyNumberFormat="1" applyFont="1" applyFill="1" applyBorder="1" applyAlignment="1" applyProtection="1">
      <alignment horizontal="right" vertical="center"/>
    </xf>
    <xf numFmtId="0" fontId="5" fillId="2" borderId="33" xfId="0" applyNumberFormat="1" applyFont="1" applyFill="1" applyBorder="1" applyAlignment="1" applyProtection="1">
      <alignment horizontal="left" vertical="center" wrapText="1"/>
    </xf>
    <xf numFmtId="0" fontId="21" fillId="2" borderId="33" xfId="0" applyNumberFormat="1" applyFont="1" applyFill="1" applyBorder="1" applyAlignment="1" applyProtection="1">
      <alignment horizontal="left" vertical="center" wrapText="1"/>
    </xf>
    <xf numFmtId="4" fontId="21" fillId="2" borderId="33" xfId="0" applyNumberFormat="1" applyFont="1" applyFill="1" applyBorder="1" applyAlignment="1" applyProtection="1">
      <alignment horizontal="right" vertical="center"/>
    </xf>
    <xf numFmtId="0" fontId="22" fillId="4" borderId="33" xfId="0" applyNumberFormat="1" applyFont="1" applyFill="1" applyBorder="1" applyAlignment="1" applyProtection="1">
      <alignment horizontal="left" vertical="center"/>
    </xf>
    <xf numFmtId="3" fontId="0" fillId="0" borderId="0" xfId="0" applyNumberFormat="1"/>
    <xf numFmtId="0" fontId="26" fillId="0" borderId="0" xfId="0" applyFont="1"/>
    <xf numFmtId="0" fontId="19" fillId="4" borderId="18" xfId="0" applyNumberFormat="1" applyFont="1" applyFill="1" applyBorder="1" applyAlignment="1" applyProtection="1">
      <alignment horizontal="center" vertical="center"/>
    </xf>
    <xf numFmtId="0" fontId="19" fillId="4" borderId="29" xfId="0" applyNumberFormat="1" applyFont="1" applyFill="1" applyBorder="1" applyAlignment="1" applyProtection="1">
      <alignment horizontal="center" vertical="center"/>
    </xf>
    <xf numFmtId="3" fontId="30" fillId="4" borderId="6" xfId="0" applyNumberFormat="1" applyFont="1" applyFill="1" applyBorder="1" applyAlignment="1" applyProtection="1">
      <alignment horizontal="right" vertical="center"/>
    </xf>
    <xf numFmtId="0" fontId="36" fillId="0" borderId="0" xfId="0" applyFont="1"/>
    <xf numFmtId="165" fontId="37" fillId="0" borderId="0" xfId="0" applyNumberFormat="1" applyFont="1"/>
    <xf numFmtId="165" fontId="0" fillId="0" borderId="0" xfId="78" applyNumberFormat="1" applyFont="1"/>
    <xf numFmtId="165" fontId="7" fillId="2" borderId="25" xfId="78" applyNumberFormat="1" applyFont="1" applyFill="1" applyBorder="1" applyAlignment="1" applyProtection="1">
      <alignment horizontal="right" vertical="center"/>
    </xf>
    <xf numFmtId="165" fontId="7" fillId="2" borderId="26" xfId="78" applyNumberFormat="1" applyFont="1" applyFill="1" applyBorder="1" applyAlignment="1" applyProtection="1">
      <alignment horizontal="right" vertical="center"/>
    </xf>
    <xf numFmtId="165" fontId="37" fillId="0" borderId="0" xfId="78" applyNumberFormat="1" applyFont="1"/>
    <xf numFmtId="165" fontId="38" fillId="2" borderId="25" xfId="78" applyNumberFormat="1" applyFont="1" applyFill="1" applyBorder="1" applyAlignment="1" applyProtection="1">
      <alignment horizontal="right" vertical="center"/>
    </xf>
    <xf numFmtId="165" fontId="38" fillId="2" borderId="26" xfId="78" applyNumberFormat="1" applyFont="1" applyFill="1" applyBorder="1" applyAlignment="1" applyProtection="1">
      <alignment horizontal="right" vertical="center"/>
    </xf>
    <xf numFmtId="0" fontId="32" fillId="4" borderId="1" xfId="10" applyNumberFormat="1" applyFont="1" applyFill="1" applyBorder="1" applyAlignment="1" applyProtection="1">
      <alignment wrapText="1"/>
      <protection locked="0"/>
    </xf>
    <xf numFmtId="0" fontId="32" fillId="0" borderId="0" xfId="0" applyFont="1"/>
    <xf numFmtId="165" fontId="0" fillId="4" borderId="1" xfId="77" applyNumberFormat="1" applyFont="1"/>
    <xf numFmtId="0" fontId="36" fillId="4" borderId="0" xfId="0" applyFont="1" applyFill="1"/>
    <xf numFmtId="0" fontId="15" fillId="4" borderId="8" xfId="11" applyNumberFormat="1" applyFont="1" applyFill="1" applyBorder="1" applyAlignment="1" applyProtection="1">
      <alignment horizontal="center" vertical="center"/>
    </xf>
    <xf numFmtId="0" fontId="15" fillId="4" borderId="40" xfId="11" applyNumberFormat="1" applyFont="1" applyFill="1" applyBorder="1" applyAlignment="1" applyProtection="1">
      <alignment horizontal="center" vertical="center"/>
    </xf>
    <xf numFmtId="0" fontId="15" fillId="4" borderId="8" xfId="11" applyNumberFormat="1" applyFont="1" applyFill="1" applyBorder="1" applyAlignment="1" applyProtection="1">
      <alignment horizontal="center" vertical="center" wrapText="1"/>
    </xf>
    <xf numFmtId="0" fontId="16" fillId="4" borderId="8" xfId="11" applyNumberFormat="1" applyFont="1" applyFill="1" applyBorder="1" applyAlignment="1" applyProtection="1">
      <alignment horizontal="center" vertical="center" wrapText="1"/>
    </xf>
    <xf numFmtId="0" fontId="15" fillId="4" borderId="40" xfId="11" applyNumberFormat="1" applyFont="1" applyFill="1" applyBorder="1" applyAlignment="1" applyProtection="1">
      <alignment horizontal="center" vertical="center" wrapText="1"/>
    </xf>
    <xf numFmtId="0" fontId="17" fillId="4" borderId="32" xfId="11" applyNumberFormat="1" applyFont="1" applyFill="1" applyBorder="1" applyAlignment="1" applyProtection="1">
      <alignment horizontal="center" vertical="center"/>
    </xf>
    <xf numFmtId="0" fontId="17" fillId="4" borderId="33" xfId="11" applyNumberFormat="1" applyFont="1" applyFill="1" applyBorder="1" applyAlignment="1" applyProtection="1">
      <alignment horizontal="left" vertical="center"/>
    </xf>
    <xf numFmtId="0" fontId="17" fillId="4" borderId="33" xfId="11" applyNumberFormat="1" applyFont="1" applyFill="1" applyBorder="1" applyAlignment="1" applyProtection="1">
      <alignment horizontal="center" vertical="center"/>
    </xf>
    <xf numFmtId="0" fontId="17" fillId="4" borderId="33" xfId="11" applyNumberFormat="1" applyFont="1" applyFill="1" applyBorder="1" applyAlignment="1" applyProtection="1">
      <alignment horizontal="left" vertical="center" wrapText="1"/>
    </xf>
    <xf numFmtId="3" fontId="17" fillId="4" borderId="33" xfId="11" applyNumberFormat="1" applyFont="1" applyFill="1" applyBorder="1" applyAlignment="1" applyProtection="1">
      <alignment horizontal="right" vertical="center"/>
    </xf>
    <xf numFmtId="3" fontId="17" fillId="4" borderId="6" xfId="11" applyNumberFormat="1" applyFont="1" applyFill="1" applyBorder="1" applyAlignment="1" applyProtection="1">
      <alignment horizontal="right" vertical="center"/>
    </xf>
    <xf numFmtId="0" fontId="17" fillId="4" borderId="72" xfId="11" applyNumberFormat="1" applyFont="1" applyFill="1" applyBorder="1" applyAlignment="1" applyProtection="1">
      <alignment horizontal="center" vertical="center"/>
    </xf>
    <xf numFmtId="0" fontId="17" fillId="4" borderId="73" xfId="11" applyNumberFormat="1" applyFont="1" applyFill="1" applyBorder="1" applyAlignment="1" applyProtection="1">
      <alignment horizontal="left" vertical="center"/>
    </xf>
    <xf numFmtId="0" fontId="17" fillId="4" borderId="73" xfId="11" applyNumberFormat="1" applyFont="1" applyFill="1" applyBorder="1" applyAlignment="1" applyProtection="1">
      <alignment horizontal="center" vertical="center"/>
    </xf>
    <xf numFmtId="0" fontId="17" fillId="4" borderId="73" xfId="11" applyNumberFormat="1" applyFont="1" applyFill="1" applyBorder="1" applyAlignment="1" applyProtection="1">
      <alignment horizontal="left" vertical="center" wrapText="1"/>
    </xf>
    <xf numFmtId="3" fontId="17" fillId="4" borderId="73" xfId="11" applyNumberFormat="1" applyFont="1" applyFill="1" applyBorder="1" applyAlignment="1" applyProtection="1">
      <alignment horizontal="right" vertical="center"/>
    </xf>
    <xf numFmtId="0" fontId="26" fillId="4" borderId="1" xfId="11" applyNumberFormat="1" applyFont="1" applyFill="1" applyBorder="1" applyAlignment="1" applyProtection="1">
      <alignment wrapText="1"/>
      <protection locked="0"/>
    </xf>
    <xf numFmtId="165" fontId="36" fillId="4" borderId="1" xfId="77" applyNumberFormat="1" applyFont="1"/>
    <xf numFmtId="0" fontId="0" fillId="0" borderId="0" xfId="0" applyAlignment="1">
      <alignment wrapText="1"/>
    </xf>
    <xf numFmtId="0" fontId="0" fillId="0" borderId="60" xfId="0" applyBorder="1"/>
    <xf numFmtId="0" fontId="12" fillId="4" borderId="1" xfId="0" applyNumberFormat="1" applyFont="1" applyFill="1" applyBorder="1" applyAlignment="1" applyProtection="1">
      <alignment horizontal="left" vertical="top"/>
    </xf>
    <xf numFmtId="0" fontId="17" fillId="4" borderId="33" xfId="0" applyNumberFormat="1" applyFont="1" applyFill="1" applyBorder="1" applyAlignment="1" applyProtection="1">
      <alignment horizontal="center" vertical="center"/>
    </xf>
    <xf numFmtId="0" fontId="15" fillId="4" borderId="82" xfId="0" applyNumberFormat="1" applyFont="1" applyFill="1" applyBorder="1" applyAlignment="1" applyProtection="1">
      <alignment horizontal="center" vertical="center"/>
    </xf>
    <xf numFmtId="0" fontId="56" fillId="4" borderId="8" xfId="0" applyNumberFormat="1" applyFont="1" applyFill="1" applyBorder="1" applyAlignment="1" applyProtection="1">
      <alignment horizontal="center" vertical="center" wrapText="1"/>
    </xf>
    <xf numFmtId="0" fontId="15" fillId="4" borderId="82" xfId="0" applyNumberFormat="1" applyFont="1" applyFill="1" applyBorder="1" applyAlignment="1" applyProtection="1">
      <alignment horizontal="center" vertical="center" wrapText="1"/>
    </xf>
    <xf numFmtId="0" fontId="17" fillId="4" borderId="75" xfId="0" applyNumberFormat="1" applyFont="1" applyFill="1" applyBorder="1" applyAlignment="1" applyProtection="1">
      <alignment horizontal="center" vertical="center"/>
    </xf>
    <xf numFmtId="3" fontId="17" fillId="4" borderId="76" xfId="0" applyNumberFormat="1" applyFont="1" applyFill="1" applyBorder="1" applyAlignment="1" applyProtection="1">
      <alignment horizontal="right" vertical="center"/>
    </xf>
    <xf numFmtId="0" fontId="30" fillId="4" borderId="75" xfId="0" applyNumberFormat="1" applyFont="1" applyFill="1" applyBorder="1" applyAlignment="1" applyProtection="1">
      <alignment horizontal="center" vertical="center"/>
    </xf>
    <xf numFmtId="0" fontId="30" fillId="4" borderId="33" xfId="0" applyNumberFormat="1" applyFont="1" applyFill="1" applyBorder="1" applyAlignment="1" applyProtection="1">
      <alignment horizontal="left" vertical="center" wrapText="1"/>
    </xf>
    <xf numFmtId="0" fontId="30" fillId="4" borderId="33" xfId="0" applyNumberFormat="1" applyFont="1" applyFill="1" applyBorder="1" applyAlignment="1" applyProtection="1">
      <alignment horizontal="left" vertical="center"/>
    </xf>
    <xf numFmtId="3" fontId="30" fillId="4" borderId="76" xfId="0" applyNumberFormat="1" applyFont="1" applyFill="1" applyBorder="1" applyAlignment="1" applyProtection="1">
      <alignment horizontal="right" vertical="center"/>
    </xf>
    <xf numFmtId="0" fontId="17" fillId="4" borderId="96" xfId="0" applyNumberFormat="1" applyFont="1" applyFill="1" applyBorder="1" applyAlignment="1" applyProtection="1">
      <alignment horizontal="center" vertical="center"/>
    </xf>
    <xf numFmtId="0" fontId="17" fillId="4" borderId="97" xfId="0" applyNumberFormat="1" applyFont="1" applyFill="1" applyBorder="1" applyAlignment="1" applyProtection="1">
      <alignment horizontal="left" vertical="center"/>
    </xf>
    <xf numFmtId="0" fontId="17" fillId="4" borderId="97" xfId="0" applyNumberFormat="1" applyFont="1" applyFill="1" applyBorder="1" applyAlignment="1" applyProtection="1">
      <alignment horizontal="left" vertical="center" wrapText="1"/>
    </xf>
    <xf numFmtId="0" fontId="18" fillId="4" borderId="1" xfId="88"/>
    <xf numFmtId="0" fontId="0" fillId="4" borderId="0" xfId="0" applyFill="1" applyAlignment="1" applyProtection="1">
      <alignment wrapText="1"/>
      <protection locked="0"/>
    </xf>
    <xf numFmtId="0" fontId="1" fillId="4" borderId="1" xfId="0" applyFont="1" applyFill="1" applyBorder="1" applyAlignment="1">
      <alignment horizontal="left" vertical="top"/>
    </xf>
    <xf numFmtId="0" fontId="0" fillId="4" borderId="0" xfId="0" applyFill="1"/>
    <xf numFmtId="0" fontId="5" fillId="4" borderId="60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7" fillId="4" borderId="60" xfId="0" applyFont="1" applyFill="1" applyBorder="1" applyAlignment="1">
      <alignment horizontal="center" vertical="center"/>
    </xf>
    <xf numFmtId="4" fontId="7" fillId="4" borderId="60" xfId="0" applyNumberFormat="1" applyFont="1" applyFill="1" applyBorder="1" applyAlignment="1">
      <alignment horizontal="right" vertical="center"/>
    </xf>
    <xf numFmtId="0" fontId="7" fillId="4" borderId="60" xfId="0" applyFont="1" applyFill="1" applyBorder="1" applyAlignment="1">
      <alignment horizontal="left" vertical="center" wrapText="1"/>
    </xf>
    <xf numFmtId="0" fontId="15" fillId="4" borderId="60" xfId="0" applyFont="1" applyFill="1" applyBorder="1" applyAlignment="1">
      <alignment horizontal="center" vertical="center"/>
    </xf>
    <xf numFmtId="0" fontId="15" fillId="4" borderId="60" xfId="0" applyFont="1" applyFill="1" applyBorder="1" applyAlignment="1">
      <alignment horizontal="center" vertical="center" wrapText="1"/>
    </xf>
    <xf numFmtId="0" fontId="16" fillId="4" borderId="60" xfId="0" applyFont="1" applyFill="1" applyBorder="1" applyAlignment="1">
      <alignment horizontal="center" vertical="center" wrapText="1"/>
    </xf>
    <xf numFmtId="0" fontId="17" fillId="4" borderId="60" xfId="0" applyFont="1" applyFill="1" applyBorder="1" applyAlignment="1">
      <alignment horizontal="center" vertical="center"/>
    </xf>
    <xf numFmtId="0" fontId="17" fillId="4" borderId="60" xfId="0" applyFont="1" applyFill="1" applyBorder="1" applyAlignment="1">
      <alignment horizontal="left" vertical="center" wrapText="1"/>
    </xf>
    <xf numFmtId="3" fontId="17" fillId="4" borderId="60" xfId="0" applyNumberFormat="1" applyFont="1" applyFill="1" applyBorder="1" applyAlignment="1">
      <alignment horizontal="right" vertical="center"/>
    </xf>
    <xf numFmtId="3" fontId="17" fillId="4" borderId="60" xfId="0" applyNumberFormat="1" applyFont="1" applyFill="1" applyBorder="1" applyAlignment="1">
      <alignment vertical="center"/>
    </xf>
    <xf numFmtId="0" fontId="17" fillId="4" borderId="60" xfId="0" applyFont="1" applyFill="1" applyBorder="1" applyAlignment="1">
      <alignment horizontal="left" vertical="center"/>
    </xf>
    <xf numFmtId="4" fontId="17" fillId="4" borderId="60" xfId="0" applyNumberFormat="1" applyFont="1" applyFill="1" applyBorder="1" applyAlignment="1">
      <alignment horizontal="right" vertical="center"/>
    </xf>
    <xf numFmtId="0" fontId="3" fillId="4" borderId="60" xfId="0" applyFont="1" applyFill="1" applyBorder="1" applyAlignment="1">
      <alignment horizontal="left" vertical="center" wrapText="1"/>
    </xf>
    <xf numFmtId="0" fontId="23" fillId="4" borderId="60" xfId="0" applyFont="1" applyFill="1" applyBorder="1" applyAlignment="1">
      <alignment horizontal="left" vertical="center" wrapText="1"/>
    </xf>
    <xf numFmtId="3" fontId="23" fillId="4" borderId="60" xfId="0" applyNumberFormat="1" applyFont="1" applyFill="1" applyBorder="1" applyAlignment="1">
      <alignment horizontal="right" vertical="center"/>
    </xf>
    <xf numFmtId="0" fontId="23" fillId="4" borderId="60" xfId="0" applyFont="1" applyFill="1" applyBorder="1" applyAlignment="1">
      <alignment horizontal="right" vertical="center"/>
    </xf>
    <xf numFmtId="167" fontId="23" fillId="4" borderId="60" xfId="77" applyNumberFormat="1" applyFont="1" applyFill="1" applyBorder="1" applyAlignment="1">
      <alignment horizontal="right" vertical="center"/>
    </xf>
    <xf numFmtId="43" fontId="7" fillId="4" borderId="60" xfId="0" applyNumberFormat="1" applyFont="1" applyFill="1" applyBorder="1" applyAlignment="1">
      <alignment horizontal="right" vertical="center"/>
    </xf>
    <xf numFmtId="43" fontId="7" fillId="4" borderId="60" xfId="0" applyNumberFormat="1" applyFont="1" applyFill="1" applyBorder="1" applyAlignment="1">
      <alignment horizontal="right" vertical="center" wrapText="1"/>
    </xf>
    <xf numFmtId="0" fontId="9" fillId="4" borderId="60" xfId="0" applyFont="1" applyFill="1" applyBorder="1" applyAlignment="1">
      <alignment horizontal="left" vertical="center"/>
    </xf>
    <xf numFmtId="167" fontId="7" fillId="4" borderId="60" xfId="77" applyNumberFormat="1" applyFont="1" applyFill="1" applyBorder="1" applyAlignment="1">
      <alignment horizontal="right" vertical="center"/>
    </xf>
    <xf numFmtId="43" fontId="24" fillId="4" borderId="60" xfId="77" applyFont="1" applyFill="1" applyBorder="1"/>
    <xf numFmtId="43" fontId="0" fillId="4" borderId="0" xfId="0" applyNumberFormat="1" applyFill="1"/>
    <xf numFmtId="3" fontId="41" fillId="4" borderId="60" xfId="0" applyNumberFormat="1" applyFont="1" applyFill="1" applyBorder="1" applyAlignment="1">
      <alignment horizontal="right" vertical="center"/>
    </xf>
    <xf numFmtId="0" fontId="41" fillId="4" borderId="60" xfId="0" applyFont="1" applyFill="1" applyBorder="1" applyAlignment="1">
      <alignment horizontal="right" vertical="center"/>
    </xf>
    <xf numFmtId="43" fontId="23" fillId="4" borderId="60" xfId="0" applyNumberFormat="1" applyFont="1" applyFill="1" applyBorder="1" applyAlignment="1">
      <alignment horizontal="right" vertical="center"/>
    </xf>
    <xf numFmtId="0" fontId="23" fillId="4" borderId="60" xfId="0" applyFont="1" applyFill="1" applyBorder="1" applyAlignment="1">
      <alignment horizontal="right" vertical="center" wrapText="1"/>
    </xf>
    <xf numFmtId="0" fontId="9" fillId="4" borderId="60" xfId="0" applyFont="1" applyFill="1" applyBorder="1" applyAlignment="1">
      <alignment horizontal="right" vertical="center" wrapText="1"/>
    </xf>
    <xf numFmtId="3" fontId="0" fillId="4" borderId="0" xfId="0" applyNumberFormat="1" applyFill="1"/>
    <xf numFmtId="0" fontId="26" fillId="4" borderId="1" xfId="0" applyNumberFormat="1" applyFont="1" applyFill="1" applyBorder="1" applyAlignment="1" applyProtection="1">
      <alignment wrapText="1"/>
      <protection locked="0"/>
    </xf>
    <xf numFmtId="0" fontId="66" fillId="4" borderId="40" xfId="0" applyNumberFormat="1" applyFont="1" applyFill="1" applyBorder="1" applyAlignment="1" applyProtection="1">
      <alignment horizontal="center" vertical="center"/>
    </xf>
    <xf numFmtId="0" fontId="22" fillId="4" borderId="32" xfId="0" applyNumberFormat="1" applyFont="1" applyFill="1" applyBorder="1" applyAlignment="1" applyProtection="1">
      <alignment horizontal="center" vertical="center"/>
    </xf>
    <xf numFmtId="0" fontId="22" fillId="4" borderId="33" xfId="0" applyNumberFormat="1" applyFont="1" applyFill="1" applyBorder="1" applyAlignment="1" applyProtection="1">
      <alignment horizontal="center" vertical="center"/>
    </xf>
    <xf numFmtId="3" fontId="22" fillId="4" borderId="6" xfId="0" applyNumberFormat="1" applyFont="1" applyFill="1" applyBorder="1" applyAlignment="1" applyProtection="1">
      <alignment horizontal="right" vertical="center"/>
    </xf>
    <xf numFmtId="3" fontId="26" fillId="0" borderId="0" xfId="0" applyNumberFormat="1" applyFont="1"/>
    <xf numFmtId="3" fontId="28" fillId="0" borderId="33" xfId="0" applyNumberFormat="1" applyFont="1" applyFill="1" applyBorder="1" applyAlignment="1" applyProtection="1">
      <alignment horizontal="right" vertical="center"/>
    </xf>
    <xf numFmtId="0" fontId="36" fillId="4" borderId="1" xfId="0" applyNumberFormat="1" applyFont="1" applyFill="1" applyBorder="1" applyAlignment="1" applyProtection="1">
      <alignment wrapText="1"/>
      <protection locked="0"/>
    </xf>
    <xf numFmtId="43" fontId="0" fillId="0" borderId="0" xfId="0" applyNumberFormat="1"/>
    <xf numFmtId="3" fontId="34" fillId="2" borderId="33" xfId="0" applyNumberFormat="1" applyFont="1" applyFill="1" applyBorder="1" applyAlignment="1" applyProtection="1">
      <alignment horizontal="right" vertical="center"/>
    </xf>
    <xf numFmtId="0" fontId="76" fillId="11" borderId="123" xfId="0" applyFont="1" applyFill="1" applyBorder="1" applyAlignment="1">
      <alignment horizontal="center" vertical="center" wrapText="1"/>
    </xf>
    <xf numFmtId="0" fontId="77" fillId="0" borderId="125" xfId="0" applyFont="1" applyBorder="1" applyAlignment="1">
      <alignment horizontal="right" vertical="center"/>
    </xf>
    <xf numFmtId="0" fontId="78" fillId="0" borderId="126" xfId="0" applyFont="1" applyBorder="1" applyAlignment="1">
      <alignment vertical="center"/>
    </xf>
    <xf numFmtId="0" fontId="76" fillId="11" borderId="125" xfId="0" applyFont="1" applyFill="1" applyBorder="1" applyAlignment="1">
      <alignment horizontal="center" vertical="center" wrapText="1"/>
    </xf>
    <xf numFmtId="165" fontId="76" fillId="11" borderId="124" xfId="78" applyNumberFormat="1" applyFont="1" applyFill="1" applyBorder="1" applyAlignment="1">
      <alignment horizontal="center" vertical="center" wrapText="1"/>
    </xf>
    <xf numFmtId="165" fontId="78" fillId="0" borderId="126" xfId="78" applyNumberFormat="1" applyFont="1" applyBorder="1" applyAlignment="1">
      <alignment vertical="center"/>
    </xf>
    <xf numFmtId="165" fontId="78" fillId="0" borderId="126" xfId="78" applyNumberFormat="1" applyFont="1" applyBorder="1" applyAlignment="1">
      <alignment horizontal="center" vertical="center"/>
    </xf>
    <xf numFmtId="165" fontId="76" fillId="11" borderId="125" xfId="7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6" fillId="11" borderId="124" xfId="0" applyFont="1" applyFill="1" applyBorder="1" applyAlignment="1">
      <alignment horizontal="left" vertical="center" wrapText="1"/>
    </xf>
    <xf numFmtId="0" fontId="78" fillId="0" borderId="126" xfId="0" applyFont="1" applyBorder="1" applyAlignment="1">
      <alignment horizontal="left" vertical="center"/>
    </xf>
    <xf numFmtId="0" fontId="79" fillId="11" borderId="126" xfId="0" applyFont="1" applyFill="1" applyBorder="1" applyAlignment="1">
      <alignment horizontal="left" vertical="center" wrapText="1"/>
    </xf>
    <xf numFmtId="0" fontId="81" fillId="6" borderId="124" xfId="88" applyFont="1" applyFill="1" applyBorder="1" applyAlignment="1">
      <alignment horizontal="center" vertical="center" wrapText="1"/>
    </xf>
    <xf numFmtId="165" fontId="81" fillId="6" borderId="124" xfId="77" applyNumberFormat="1" applyFont="1" applyFill="1" applyBorder="1" applyAlignment="1">
      <alignment horizontal="center" vertical="center" wrapText="1"/>
    </xf>
    <xf numFmtId="165" fontId="75" fillId="6" borderId="124" xfId="77" applyNumberFormat="1" applyFont="1" applyFill="1" applyBorder="1" applyAlignment="1">
      <alignment horizontal="center" vertical="center" wrapText="1"/>
    </xf>
    <xf numFmtId="165" fontId="81" fillId="6" borderId="124" xfId="77" applyNumberFormat="1" applyFont="1" applyFill="1" applyBorder="1" applyAlignment="1">
      <alignment horizontal="center" vertical="center"/>
    </xf>
    <xf numFmtId="167" fontId="80" fillId="6" borderId="124" xfId="77" applyNumberFormat="1" applyFont="1" applyFill="1" applyBorder="1" applyAlignment="1">
      <alignment vertical="center" wrapText="1"/>
    </xf>
    <xf numFmtId="165" fontId="81" fillId="6" borderId="128" xfId="77" applyNumberFormat="1" applyFont="1" applyFill="1" applyBorder="1" applyAlignment="1">
      <alignment horizontal="center" vertical="center" wrapText="1"/>
    </xf>
    <xf numFmtId="0" fontId="82" fillId="4" borderId="126" xfId="88" applyFont="1" applyBorder="1" applyAlignment="1">
      <alignment horizontal="center" vertical="center" wrapText="1"/>
    </xf>
    <xf numFmtId="165" fontId="82" fillId="4" borderId="126" xfId="77" applyNumberFormat="1" applyFont="1" applyFill="1" applyBorder="1" applyAlignment="1">
      <alignment horizontal="center" vertical="center" wrapText="1"/>
    </xf>
    <xf numFmtId="165" fontId="83" fillId="4" borderId="126" xfId="77" applyNumberFormat="1" applyFont="1" applyFill="1" applyBorder="1" applyAlignment="1">
      <alignment horizontal="right" vertical="center"/>
    </xf>
    <xf numFmtId="167" fontId="83" fillId="4" borderId="126" xfId="77" applyNumberFormat="1" applyFont="1" applyFill="1" applyBorder="1" applyAlignment="1">
      <alignment horizontal="right" vertical="center"/>
    </xf>
    <xf numFmtId="165" fontId="83" fillId="4" borderId="83" xfId="77" applyNumberFormat="1" applyFont="1" applyFill="1" applyBorder="1" applyAlignment="1">
      <alignment horizontal="right" vertical="center"/>
    </xf>
    <xf numFmtId="165" fontId="36" fillId="4" borderId="1" xfId="98" applyNumberFormat="1" applyFont="1"/>
    <xf numFmtId="165" fontId="84" fillId="4" borderId="126" xfId="77" applyNumberFormat="1" applyFont="1" applyFill="1" applyBorder="1" applyAlignment="1">
      <alignment horizontal="right" vertical="center"/>
    </xf>
    <xf numFmtId="0" fontId="82" fillId="6" borderId="126" xfId="88" applyFont="1" applyFill="1" applyBorder="1" applyAlignment="1">
      <alignment horizontal="center" vertical="center" wrapText="1"/>
    </xf>
    <xf numFmtId="165" fontId="81" fillId="12" borderId="124" xfId="77" applyNumberFormat="1" applyFont="1" applyFill="1" applyBorder="1" applyAlignment="1">
      <alignment horizontal="center" vertical="center" wrapText="1"/>
    </xf>
    <xf numFmtId="167" fontId="83" fillId="12" borderId="126" xfId="77" applyNumberFormat="1" applyFont="1" applyFill="1" applyBorder="1" applyAlignment="1">
      <alignment horizontal="right" vertical="center"/>
    </xf>
    <xf numFmtId="165" fontId="18" fillId="4" borderId="1" xfId="77" applyNumberFormat="1" applyFill="1" applyBorder="1"/>
    <xf numFmtId="165" fontId="36" fillId="4" borderId="1" xfId="77" applyNumberFormat="1" applyFont="1" applyFill="1" applyBorder="1"/>
    <xf numFmtId="165" fontId="74" fillId="4" borderId="1" xfId="77" applyNumberFormat="1" applyFont="1" applyFill="1" applyBorder="1"/>
    <xf numFmtId="165" fontId="27" fillId="4" borderId="1" xfId="77" applyNumberFormat="1" applyFont="1" applyFill="1" applyBorder="1"/>
    <xf numFmtId="167" fontId="36" fillId="4" borderId="1" xfId="77" applyNumberFormat="1" applyFont="1" applyFill="1" applyBorder="1"/>
    <xf numFmtId="0" fontId="80" fillId="6" borderId="124" xfId="88" applyFont="1" applyFill="1" applyBorder="1" applyAlignment="1">
      <alignment horizontal="center" vertical="center" wrapText="1"/>
    </xf>
    <xf numFmtId="165" fontId="80" fillId="6" borderId="124" xfId="77" applyNumberFormat="1" applyFont="1" applyFill="1" applyBorder="1" applyAlignment="1">
      <alignment horizontal="center" vertical="center" wrapText="1"/>
    </xf>
    <xf numFmtId="165" fontId="80" fillId="6" borderId="124" xfId="77" applyNumberFormat="1" applyFont="1" applyFill="1" applyBorder="1" applyAlignment="1">
      <alignment horizontal="center" vertical="center"/>
    </xf>
    <xf numFmtId="165" fontId="82" fillId="12" borderId="126" xfId="77" applyNumberFormat="1" applyFont="1" applyFill="1" applyBorder="1" applyAlignment="1">
      <alignment horizontal="center" vertical="center" wrapText="1"/>
    </xf>
    <xf numFmtId="167" fontId="74" fillId="4" borderId="1" xfId="77" applyNumberFormat="1" applyFont="1" applyFill="1" applyBorder="1"/>
    <xf numFmtId="167" fontId="81" fillId="6" borderId="124" xfId="77" applyNumberFormat="1" applyFont="1" applyFill="1" applyBorder="1" applyAlignment="1">
      <alignment vertical="center" wrapText="1"/>
    </xf>
    <xf numFmtId="165" fontId="82" fillId="6" borderId="126" xfId="77" applyNumberFormat="1" applyFont="1" applyFill="1" applyBorder="1" applyAlignment="1">
      <alignment horizontal="center" vertical="center" wrapText="1"/>
    </xf>
    <xf numFmtId="0" fontId="81" fillId="7" borderId="116" xfId="88" applyFont="1" applyFill="1" applyBorder="1" applyAlignment="1">
      <alignment horizontal="center" vertical="center" wrapText="1"/>
    </xf>
    <xf numFmtId="165" fontId="81" fillId="7" borderId="116" xfId="77" applyNumberFormat="1" applyFont="1" applyFill="1" applyBorder="1" applyAlignment="1">
      <alignment horizontal="center" vertical="center" wrapText="1"/>
    </xf>
    <xf numFmtId="165" fontId="87" fillId="7" borderId="116" xfId="77" applyNumberFormat="1" applyFont="1" applyFill="1" applyBorder="1" applyAlignment="1">
      <alignment horizontal="center" vertical="center" wrapText="1"/>
    </xf>
    <xf numFmtId="165" fontId="81" fillId="7" borderId="81" xfId="77" applyNumberFormat="1" applyFont="1" applyFill="1" applyBorder="1" applyAlignment="1">
      <alignment horizontal="center" vertical="center" wrapText="1"/>
    </xf>
    <xf numFmtId="167" fontId="81" fillId="7" borderId="131" xfId="77" applyNumberFormat="1" applyFont="1" applyFill="1" applyBorder="1" applyAlignment="1">
      <alignment vertical="center" wrapText="1"/>
    </xf>
    <xf numFmtId="165" fontId="81" fillId="7" borderId="132" xfId="77" applyNumberFormat="1" applyFont="1" applyFill="1" applyBorder="1" applyAlignment="1">
      <alignment horizontal="center" vertical="center" wrapText="1"/>
    </xf>
    <xf numFmtId="0" fontId="81" fillId="4" borderId="60" xfId="88" applyFont="1" applyBorder="1" applyAlignment="1">
      <alignment horizontal="center" vertical="center" wrapText="1"/>
    </xf>
    <xf numFmtId="165" fontId="81" fillId="4" borderId="60" xfId="77" applyNumberFormat="1" applyFont="1" applyFill="1" applyBorder="1" applyAlignment="1">
      <alignment horizontal="center" vertical="center" wrapText="1"/>
    </xf>
    <xf numFmtId="167" fontId="69" fillId="4" borderId="60" xfId="77" applyNumberFormat="1" applyFont="1" applyFill="1" applyBorder="1" applyAlignment="1">
      <alignment horizontal="right" vertical="center"/>
    </xf>
    <xf numFmtId="0" fontId="81" fillId="7" borderId="126" xfId="88" applyFont="1" applyFill="1" applyBorder="1" applyAlignment="1">
      <alignment horizontal="center" vertical="center" wrapText="1"/>
    </xf>
    <xf numFmtId="165" fontId="81" fillId="7" borderId="126" xfId="77" applyNumberFormat="1" applyFont="1" applyFill="1" applyBorder="1" applyAlignment="1">
      <alignment horizontal="center" vertical="center" wrapText="1"/>
    </xf>
    <xf numFmtId="165" fontId="87" fillId="7" borderId="126" xfId="77" applyNumberFormat="1" applyFont="1" applyFill="1" applyBorder="1" applyAlignment="1">
      <alignment horizontal="center" vertical="center" wrapText="1"/>
    </xf>
    <xf numFmtId="165" fontId="81" fillId="7" borderId="83" xfId="77" applyNumberFormat="1" applyFont="1" applyFill="1" applyBorder="1" applyAlignment="1">
      <alignment horizontal="center" vertical="center" wrapText="1"/>
    </xf>
    <xf numFmtId="167" fontId="69" fillId="7" borderId="122" xfId="77" applyNumberFormat="1" applyFont="1" applyFill="1" applyBorder="1" applyAlignment="1">
      <alignment horizontal="right" vertical="center"/>
    </xf>
    <xf numFmtId="43" fontId="27" fillId="4" borderId="1" xfId="77" applyNumberFormat="1" applyFont="1" applyFill="1" applyBorder="1"/>
    <xf numFmtId="167" fontId="18" fillId="4" borderId="1" xfId="77" applyNumberFormat="1" applyFill="1" applyBorder="1"/>
    <xf numFmtId="165" fontId="0" fillId="4" borderId="1" xfId="77" applyNumberFormat="1" applyFont="1" applyFill="1" applyBorder="1"/>
    <xf numFmtId="3" fontId="18" fillId="4" borderId="1" xfId="77" applyNumberFormat="1" applyFill="1" applyBorder="1"/>
    <xf numFmtId="167" fontId="0" fillId="4" borderId="1" xfId="77" applyNumberFormat="1" applyFont="1"/>
    <xf numFmtId="0" fontId="89" fillId="11" borderId="123" xfId="0" applyFont="1" applyFill="1" applyBorder="1" applyAlignment="1">
      <alignment horizontal="center" vertical="center" wrapText="1"/>
    </xf>
    <xf numFmtId="0" fontId="89" fillId="11" borderId="124" xfId="0" applyFont="1" applyFill="1" applyBorder="1" applyAlignment="1">
      <alignment horizontal="center" vertical="center" wrapText="1"/>
    </xf>
    <xf numFmtId="0" fontId="78" fillId="0" borderId="125" xfId="0" applyFont="1" applyBorder="1" applyAlignment="1">
      <alignment horizontal="right" vertical="center"/>
    </xf>
    <xf numFmtId="0" fontId="89" fillId="11" borderId="125" xfId="0" applyFont="1" applyFill="1" applyBorder="1" applyAlignment="1">
      <alignment horizontal="center" vertical="center" wrapText="1"/>
    </xf>
    <xf numFmtId="0" fontId="89" fillId="11" borderId="126" xfId="0" applyFont="1" applyFill="1" applyBorder="1" applyAlignment="1">
      <alignment horizontal="center" vertical="center" wrapText="1"/>
    </xf>
    <xf numFmtId="0" fontId="85" fillId="4" borderId="1" xfId="0" applyNumberFormat="1" applyFont="1" applyFill="1" applyBorder="1" applyAlignment="1" applyProtection="1">
      <alignment wrapText="1"/>
      <protection locked="0"/>
    </xf>
    <xf numFmtId="0" fontId="34" fillId="2" borderId="32" xfId="0" applyNumberFormat="1" applyFont="1" applyFill="1" applyBorder="1" applyAlignment="1" applyProtection="1">
      <alignment horizontal="center" vertical="center"/>
    </xf>
    <xf numFmtId="0" fontId="34" fillId="2" borderId="33" xfId="0" applyNumberFormat="1" applyFont="1" applyFill="1" applyBorder="1" applyAlignment="1" applyProtection="1">
      <alignment horizontal="left" vertical="center"/>
    </xf>
    <xf numFmtId="0" fontId="85" fillId="0" borderId="0" xfId="0" applyFont="1"/>
    <xf numFmtId="0" fontId="91" fillId="11" borderId="116" xfId="0" applyFont="1" applyFill="1" applyBorder="1" applyAlignment="1">
      <alignment horizontal="center" vertical="center" wrapText="1"/>
    </xf>
    <xf numFmtId="0" fontId="91" fillId="11" borderId="140" xfId="0" applyFont="1" applyFill="1" applyBorder="1" applyAlignment="1">
      <alignment horizontal="center" vertical="center" wrapText="1"/>
    </xf>
    <xf numFmtId="0" fontId="62" fillId="0" borderId="125" xfId="0" applyFont="1" applyBorder="1" applyAlignment="1">
      <alignment horizontal="center" vertical="center"/>
    </xf>
    <xf numFmtId="0" fontId="62" fillId="0" borderId="126" xfId="0" applyFont="1" applyBorder="1" applyAlignment="1">
      <alignment vertical="center"/>
    </xf>
    <xf numFmtId="165" fontId="90" fillId="0" borderId="126" xfId="78" applyNumberFormat="1" applyFont="1" applyBorder="1" applyAlignment="1">
      <alignment vertical="center"/>
    </xf>
    <xf numFmtId="165" fontId="84" fillId="0" borderId="126" xfId="78" applyNumberFormat="1" applyFont="1" applyBorder="1" applyAlignment="1">
      <alignment vertical="center"/>
    </xf>
    <xf numFmtId="0" fontId="89" fillId="11" borderId="126" xfId="0" applyFont="1" applyFill="1" applyBorder="1" applyAlignment="1">
      <alignment vertical="center" wrapText="1"/>
    </xf>
    <xf numFmtId="167" fontId="62" fillId="0" borderId="126" xfId="78" applyNumberFormat="1" applyFont="1" applyBorder="1" applyAlignment="1">
      <alignment horizontal="right" vertical="center"/>
    </xf>
    <xf numFmtId="0" fontId="91" fillId="11" borderId="145" xfId="0" applyFont="1" applyFill="1" applyBorder="1" applyAlignment="1">
      <alignment horizontal="center" vertical="center" wrapText="1"/>
    </xf>
    <xf numFmtId="0" fontId="91" fillId="11" borderId="146" xfId="0" applyFont="1" applyFill="1" applyBorder="1" applyAlignment="1">
      <alignment horizontal="center" vertical="center" wrapText="1"/>
    </xf>
    <xf numFmtId="3" fontId="91" fillId="11" borderId="146" xfId="0" applyNumberFormat="1" applyFont="1" applyFill="1" applyBorder="1" applyAlignment="1">
      <alignment horizontal="center" vertical="center" wrapText="1"/>
    </xf>
    <xf numFmtId="167" fontId="0" fillId="0" borderId="60" xfId="78" applyNumberFormat="1" applyFont="1" applyBorder="1"/>
    <xf numFmtId="167" fontId="62" fillId="0" borderId="83" xfId="78" applyNumberFormat="1" applyFont="1" applyBorder="1" applyAlignment="1">
      <alignment horizontal="right" vertical="center"/>
    </xf>
    <xf numFmtId="3" fontId="91" fillId="11" borderId="69" xfId="0" applyNumberFormat="1" applyFont="1" applyFill="1" applyBorder="1" applyAlignment="1">
      <alignment horizontal="center" vertical="center" wrapText="1"/>
    </xf>
    <xf numFmtId="0" fontId="76" fillId="11" borderId="135" xfId="0" applyFont="1" applyFill="1" applyBorder="1" applyAlignment="1">
      <alignment horizontal="center" vertical="center" wrapText="1"/>
    </xf>
    <xf numFmtId="0" fontId="76" fillId="11" borderId="138" xfId="0" applyFont="1" applyFill="1" applyBorder="1" applyAlignment="1">
      <alignment horizontal="center" vertical="center" wrapText="1"/>
    </xf>
    <xf numFmtId="0" fontId="76" fillId="11" borderId="139" xfId="0" applyFont="1" applyFill="1" applyBorder="1" applyAlignment="1">
      <alignment horizontal="center" vertical="center" wrapText="1"/>
    </xf>
    <xf numFmtId="0" fontId="77" fillId="0" borderId="125" xfId="0" applyFont="1" applyBorder="1" applyAlignment="1">
      <alignment vertical="center"/>
    </xf>
    <xf numFmtId="0" fontId="77" fillId="0" borderId="126" xfId="0" applyFont="1" applyBorder="1" applyAlignment="1">
      <alignment vertical="center"/>
    </xf>
    <xf numFmtId="3" fontId="77" fillId="0" borderId="126" xfId="0" applyNumberFormat="1" applyFont="1" applyBorder="1" applyAlignment="1">
      <alignment vertical="center"/>
    </xf>
    <xf numFmtId="0" fontId="76" fillId="11" borderId="141" xfId="0" applyFont="1" applyFill="1" applyBorder="1" applyAlignment="1">
      <alignment horizontal="center" vertical="center" wrapText="1"/>
    </xf>
    <xf numFmtId="0" fontId="76" fillId="11" borderId="142" xfId="0" applyFont="1" applyFill="1" applyBorder="1" applyAlignment="1">
      <alignment horizontal="center" vertical="center" wrapText="1"/>
    </xf>
    <xf numFmtId="3" fontId="76" fillId="11" borderId="142" xfId="0" applyNumberFormat="1" applyFont="1" applyFill="1" applyBorder="1" applyAlignment="1">
      <alignment horizontal="center" vertical="center" wrapText="1"/>
    </xf>
    <xf numFmtId="167" fontId="77" fillId="0" borderId="126" xfId="78" applyNumberFormat="1" applyFont="1" applyBorder="1" applyAlignment="1">
      <alignment vertical="center"/>
    </xf>
    <xf numFmtId="1" fontId="76" fillId="11" borderId="142" xfId="0" applyNumberFormat="1" applyFont="1" applyFill="1" applyBorder="1" applyAlignment="1">
      <alignment horizontal="center" vertical="center" wrapText="1"/>
    </xf>
    <xf numFmtId="0" fontId="32" fillId="0" borderId="60" xfId="0" applyFont="1" applyBorder="1" applyAlignment="1">
      <alignment horizontal="center"/>
    </xf>
    <xf numFmtId="165" fontId="93" fillId="0" borderId="60" xfId="78" applyNumberFormat="1" applyFont="1" applyBorder="1" applyAlignment="1">
      <alignment vertical="center"/>
    </xf>
    <xf numFmtId="0" fontId="10" fillId="4" borderId="8" xfId="0" applyNumberFormat="1" applyFont="1" applyFill="1" applyBorder="1" applyAlignment="1" applyProtection="1">
      <alignment horizontal="left" vertical="center"/>
    </xf>
    <xf numFmtId="0" fontId="7" fillId="2" borderId="32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12" fillId="4" borderId="1" xfId="0" applyNumberFormat="1" applyFont="1" applyFill="1" applyBorder="1" applyAlignment="1" applyProtection="1">
      <alignment horizontal="left" vertical="top"/>
    </xf>
    <xf numFmtId="0" fontId="17" fillId="4" borderId="33" xfId="0" applyNumberFormat="1" applyFont="1" applyFill="1" applyBorder="1" applyAlignment="1" applyProtection="1">
      <alignment horizontal="center" vertical="center"/>
    </xf>
    <xf numFmtId="0" fontId="15" fillId="4" borderId="8" xfId="0" applyNumberFormat="1" applyFont="1" applyFill="1" applyBorder="1" applyAlignment="1" applyProtection="1">
      <alignment horizontal="center" vertical="center"/>
    </xf>
    <xf numFmtId="0" fontId="16" fillId="4" borderId="8" xfId="0" applyNumberFormat="1" applyFont="1" applyFill="1" applyBorder="1" applyAlignment="1" applyProtection="1">
      <alignment horizontal="center" vertical="center" wrapText="1"/>
    </xf>
    <xf numFmtId="3" fontId="17" fillId="4" borderId="33" xfId="0" applyNumberFormat="1" applyFont="1" applyFill="1" applyBorder="1" applyAlignment="1" applyProtection="1">
      <alignment horizontal="right" vertical="center"/>
    </xf>
    <xf numFmtId="0" fontId="17" fillId="4" borderId="33" xfId="11" applyNumberFormat="1" applyFont="1" applyFill="1" applyBorder="1" applyAlignment="1" applyProtection="1">
      <alignment horizontal="center" vertical="center"/>
    </xf>
    <xf numFmtId="0" fontId="17" fillId="4" borderId="73" xfId="11" applyNumberFormat="1" applyFont="1" applyFill="1" applyBorder="1" applyAlignment="1" applyProtection="1">
      <alignment horizontal="center" vertical="center"/>
    </xf>
    <xf numFmtId="165" fontId="92" fillId="0" borderId="60" xfId="78" applyNumberFormat="1" applyFont="1" applyBorder="1" applyAlignment="1">
      <alignment vertical="center"/>
    </xf>
    <xf numFmtId="165" fontId="32" fillId="0" borderId="60" xfId="0" applyNumberFormat="1" applyFont="1" applyBorder="1"/>
    <xf numFmtId="165" fontId="44" fillId="0" borderId="60" xfId="78" applyNumberFormat="1" applyFont="1" applyBorder="1"/>
    <xf numFmtId="165" fontId="44" fillId="0" borderId="60" xfId="0" applyNumberFormat="1" applyFont="1" applyBorder="1"/>
    <xf numFmtId="0" fontId="51" fillId="0" borderId="0" xfId="0" applyFont="1" applyAlignment="1">
      <alignment vertical="center" wrapText="1"/>
    </xf>
    <xf numFmtId="0" fontId="20" fillId="4" borderId="60" xfId="0" applyNumberFormat="1" applyFont="1" applyFill="1" applyBorder="1" applyAlignment="1" applyProtection="1">
      <alignment horizontal="left" vertical="center" wrapText="1"/>
    </xf>
    <xf numFmtId="165" fontId="94" fillId="0" borderId="60" xfId="78" applyNumberFormat="1" applyFont="1" applyBorder="1" applyAlignment="1">
      <alignment vertical="center"/>
    </xf>
    <xf numFmtId="165" fontId="88" fillId="0" borderId="60" xfId="78" applyNumberFormat="1" applyFont="1" applyBorder="1"/>
    <xf numFmtId="0" fontId="51" fillId="0" borderId="60" xfId="0" applyFont="1" applyBorder="1" applyAlignment="1">
      <alignment vertical="center" wrapText="1"/>
    </xf>
    <xf numFmtId="0" fontId="32" fillId="0" borderId="60" xfId="0" applyFont="1" applyBorder="1" applyAlignment="1">
      <alignment wrapText="1"/>
    </xf>
    <xf numFmtId="0" fontId="24" fillId="4" borderId="1" xfId="0" applyNumberFormat="1" applyFont="1" applyFill="1" applyBorder="1" applyAlignment="1" applyProtection="1">
      <alignment wrapText="1"/>
      <protection locked="0"/>
    </xf>
    <xf numFmtId="0" fontId="19" fillId="4" borderId="17" xfId="0" applyNumberFormat="1" applyFont="1" applyFill="1" applyBorder="1" applyAlignment="1" applyProtection="1">
      <alignment horizontal="center" vertical="center"/>
    </xf>
    <xf numFmtId="0" fontId="19" fillId="4" borderId="19" xfId="0" applyNumberFormat="1" applyFont="1" applyFill="1" applyBorder="1" applyAlignment="1" applyProtection="1">
      <alignment horizontal="center" vertical="center"/>
    </xf>
    <xf numFmtId="0" fontId="10" fillId="4" borderId="22" xfId="0" applyNumberFormat="1" applyFont="1" applyFill="1" applyBorder="1" applyAlignment="1" applyProtection="1">
      <alignment horizontal="center" vertical="center"/>
    </xf>
    <xf numFmtId="0" fontId="19" fillId="4" borderId="23" xfId="0" applyNumberFormat="1" applyFont="1" applyFill="1" applyBorder="1" applyAlignment="1" applyProtection="1">
      <alignment horizontal="center" vertical="center"/>
    </xf>
    <xf numFmtId="0" fontId="19" fillId="4" borderId="28" xfId="0" applyNumberFormat="1" applyFont="1" applyFill="1" applyBorder="1" applyAlignment="1" applyProtection="1">
      <alignment horizontal="center" vertical="center"/>
    </xf>
    <xf numFmtId="0" fontId="19" fillId="4" borderId="30" xfId="0" applyNumberFormat="1" applyFont="1" applyFill="1" applyBorder="1" applyAlignment="1" applyProtection="1">
      <alignment horizontal="center" vertical="center"/>
    </xf>
    <xf numFmtId="0" fontId="24" fillId="0" borderId="0" xfId="0" applyFont="1"/>
    <xf numFmtId="0" fontId="7" fillId="4" borderId="1" xfId="11" applyNumberFormat="1" applyFont="1" applyFill="1" applyBorder="1" applyAlignment="1" applyProtection="1">
      <alignment horizontal="left" vertical="top"/>
    </xf>
    <xf numFmtId="0" fontId="24" fillId="4" borderId="1" xfId="11" applyNumberFormat="1" applyFont="1" applyFill="1" applyBorder="1" applyAlignment="1" applyProtection="1">
      <alignment wrapText="1"/>
      <protection locked="0"/>
    </xf>
    <xf numFmtId="0" fontId="5" fillId="3" borderId="41" xfId="0" applyNumberFormat="1" applyFont="1" applyFill="1" applyBorder="1" applyAlignment="1" applyProtection="1">
      <alignment horizontal="left" vertical="center"/>
    </xf>
    <xf numFmtId="0" fontId="19" fillId="4" borderId="20" xfId="0" applyNumberFormat="1" applyFont="1" applyFill="1" applyBorder="1" applyAlignment="1" applyProtection="1">
      <alignment horizontal="center" vertical="center"/>
    </xf>
    <xf numFmtId="0" fontId="10" fillId="4" borderId="21" xfId="0" applyNumberFormat="1" applyFont="1" applyFill="1" applyBorder="1" applyAlignment="1" applyProtection="1">
      <alignment horizontal="center" vertical="center"/>
    </xf>
    <xf numFmtId="3" fontId="33" fillId="5" borderId="60" xfId="0" applyNumberFormat="1" applyFont="1" applyFill="1" applyBorder="1" applyAlignment="1"/>
    <xf numFmtId="165" fontId="29" fillId="5" borderId="60" xfId="0" applyNumberFormat="1" applyFont="1" applyFill="1" applyBorder="1" applyAlignment="1"/>
    <xf numFmtId="3" fontId="31" fillId="5" borderId="122" xfId="94" applyNumberFormat="1" applyFont="1" applyFill="1" applyBorder="1" applyAlignment="1"/>
    <xf numFmtId="3" fontId="7" fillId="2" borderId="6" xfId="0" applyNumberFormat="1" applyFont="1" applyFill="1" applyBorder="1" applyAlignment="1" applyProtection="1">
      <alignment horizontal="right" vertical="center"/>
    </xf>
    <xf numFmtId="165" fontId="31" fillId="5" borderId="60" xfId="95" applyNumberFormat="1" applyFont="1" applyFill="1" applyBorder="1" applyAlignment="1"/>
    <xf numFmtId="165" fontId="31" fillId="4" borderId="33" xfId="77" applyNumberFormat="1" applyFont="1" applyFill="1" applyBorder="1" applyAlignment="1" applyProtection="1">
      <alignment horizontal="right" vertical="center"/>
    </xf>
    <xf numFmtId="3" fontId="21" fillId="2" borderId="33" xfId="0" applyNumberFormat="1" applyFont="1" applyFill="1" applyBorder="1" applyAlignment="1" applyProtection="1">
      <alignment horizontal="right" vertical="center"/>
    </xf>
    <xf numFmtId="4" fontId="48" fillId="2" borderId="33" xfId="0" applyNumberFormat="1" applyFont="1" applyFill="1" applyBorder="1" applyAlignment="1" applyProtection="1">
      <alignment horizontal="right" vertical="center"/>
    </xf>
    <xf numFmtId="4" fontId="95" fillId="2" borderId="33" xfId="0" applyNumberFormat="1" applyFont="1" applyFill="1" applyBorder="1" applyAlignment="1" applyProtection="1">
      <alignment horizontal="right" vertical="center"/>
    </xf>
    <xf numFmtId="0" fontId="19" fillId="4" borderId="31" xfId="0" applyNumberFormat="1" applyFont="1" applyFill="1" applyBorder="1" applyAlignment="1" applyProtection="1">
      <alignment horizontal="center" vertical="center"/>
    </xf>
    <xf numFmtId="0" fontId="35" fillId="4" borderId="17" xfId="0" applyNumberFormat="1" applyFont="1" applyFill="1" applyBorder="1" applyAlignment="1" applyProtection="1">
      <alignment horizontal="center" vertical="center"/>
    </xf>
    <xf numFmtId="165" fontId="35" fillId="4" borderId="17" xfId="77" applyNumberFormat="1" applyFont="1" applyFill="1" applyBorder="1" applyAlignment="1" applyProtection="1">
      <alignment horizontal="center" vertical="center"/>
    </xf>
    <xf numFmtId="165" fontId="59" fillId="5" borderId="76" xfId="78" applyNumberFormat="1" applyFont="1" applyFill="1" applyBorder="1" applyAlignment="1" applyProtection="1">
      <alignment horizontal="right" vertical="center" wrapText="1"/>
    </xf>
    <xf numFmtId="0" fontId="26" fillId="4" borderId="1" xfId="104" applyNumberFormat="1" applyFont="1" applyFill="1" applyBorder="1" applyAlignment="1" applyProtection="1">
      <alignment wrapText="1"/>
      <protection locked="0"/>
    </xf>
    <xf numFmtId="0" fontId="75" fillId="11" borderId="130" xfId="0" applyFont="1" applyFill="1" applyBorder="1" applyAlignment="1">
      <alignment vertical="center" wrapText="1"/>
    </xf>
    <xf numFmtId="0" fontId="89" fillId="11" borderId="127" xfId="0" applyFont="1" applyFill="1" applyBorder="1" applyAlignment="1">
      <alignment vertical="center" wrapText="1"/>
    </xf>
    <xf numFmtId="0" fontId="89" fillId="11" borderId="138" xfId="0" applyFont="1" applyFill="1" applyBorder="1" applyAlignment="1">
      <alignment horizontal="center" vertical="center" wrapText="1"/>
    </xf>
    <xf numFmtId="0" fontId="49" fillId="11" borderId="125" xfId="0" applyFont="1" applyFill="1" applyBorder="1" applyAlignment="1">
      <alignment vertical="center" wrapText="1"/>
    </xf>
    <xf numFmtId="0" fontId="89" fillId="11" borderId="142" xfId="0" applyFont="1" applyFill="1" applyBorder="1" applyAlignment="1">
      <alignment horizontal="center" vertical="center" wrapText="1"/>
    </xf>
    <xf numFmtId="3" fontId="89" fillId="11" borderId="142" xfId="0" applyNumberFormat="1" applyFont="1" applyFill="1" applyBorder="1" applyAlignment="1">
      <alignment horizontal="center" vertical="center" wrapText="1"/>
    </xf>
    <xf numFmtId="9" fontId="97" fillId="7" borderId="126" xfId="0" applyNumberFormat="1" applyFont="1" applyFill="1" applyBorder="1" applyAlignment="1">
      <alignment horizontal="center" vertical="center"/>
    </xf>
    <xf numFmtId="0" fontId="78" fillId="0" borderId="125" xfId="0" applyFont="1" applyBorder="1" applyAlignment="1">
      <alignment horizontal="center" vertical="center"/>
    </xf>
    <xf numFmtId="0" fontId="78" fillId="0" borderId="126" xfId="0" applyFont="1" applyBorder="1" applyAlignment="1">
      <alignment horizontal="center" vertical="center"/>
    </xf>
    <xf numFmtId="9" fontId="78" fillId="0" borderId="126" xfId="0" applyNumberFormat="1" applyFont="1" applyBorder="1" applyAlignment="1">
      <alignment horizontal="center" vertical="center"/>
    </xf>
    <xf numFmtId="0" fontId="17" fillId="4" borderId="33" xfId="0" applyNumberFormat="1" applyFont="1" applyFill="1" applyBorder="1" applyAlignment="1" applyProtection="1">
      <alignment horizontal="center" vertical="center"/>
    </xf>
    <xf numFmtId="0" fontId="15" fillId="4" borderId="8" xfId="0" applyNumberFormat="1" applyFont="1" applyFill="1" applyBorder="1" applyAlignment="1" applyProtection="1">
      <alignment horizontal="center" vertical="center"/>
    </xf>
    <xf numFmtId="0" fontId="16" fillId="4" borderId="8" xfId="0" applyNumberFormat="1" applyFont="1" applyFill="1" applyBorder="1" applyAlignment="1" applyProtection="1">
      <alignment horizontal="center" vertical="center" wrapText="1"/>
    </xf>
    <xf numFmtId="3" fontId="17" fillId="4" borderId="33" xfId="0" applyNumberFormat="1" applyFont="1" applyFill="1" applyBorder="1" applyAlignment="1" applyProtection="1">
      <alignment horizontal="right" vertical="center"/>
    </xf>
    <xf numFmtId="0" fontId="30" fillId="4" borderId="33" xfId="0" applyNumberFormat="1" applyFont="1" applyFill="1" applyBorder="1" applyAlignment="1" applyProtection="1">
      <alignment horizontal="center" vertical="center"/>
    </xf>
    <xf numFmtId="3" fontId="30" fillId="4" borderId="33" xfId="0" applyNumberFormat="1" applyFont="1" applyFill="1" applyBorder="1" applyAlignment="1" applyProtection="1">
      <alignment horizontal="right" vertical="center"/>
    </xf>
    <xf numFmtId="3" fontId="17" fillId="4" borderId="97" xfId="0" applyNumberFormat="1" applyFont="1" applyFill="1" applyBorder="1" applyAlignment="1" applyProtection="1">
      <alignment horizontal="right" vertical="center"/>
    </xf>
    <xf numFmtId="0" fontId="17" fillId="4" borderId="97" xfId="0" applyNumberFormat="1" applyFont="1" applyFill="1" applyBorder="1" applyAlignment="1" applyProtection="1">
      <alignment horizontal="center" vertical="center"/>
    </xf>
    <xf numFmtId="3" fontId="50" fillId="4" borderId="6" xfId="0" applyNumberFormat="1" applyFont="1" applyFill="1" applyBorder="1" applyAlignment="1" applyProtection="1">
      <alignment horizontal="right" vertical="center"/>
    </xf>
    <xf numFmtId="3" fontId="17" fillId="4" borderId="62" xfId="0" applyNumberFormat="1" applyFont="1" applyFill="1" applyBorder="1" applyAlignment="1" applyProtection="1">
      <alignment horizontal="right" vertical="center"/>
    </xf>
    <xf numFmtId="0" fontId="68" fillId="0" borderId="0" xfId="0" applyFont="1"/>
    <xf numFmtId="0" fontId="35" fillId="5" borderId="17" xfId="0" applyNumberFormat="1" applyFont="1" applyFill="1" applyBorder="1" applyAlignment="1" applyProtection="1">
      <alignment horizontal="center" vertical="center"/>
    </xf>
    <xf numFmtId="0" fontId="35" fillId="5" borderId="18" xfId="0" applyNumberFormat="1" applyFont="1" applyFill="1" applyBorder="1" applyAlignment="1" applyProtection="1">
      <alignment horizontal="center" vertical="center"/>
    </xf>
    <xf numFmtId="0" fontId="35" fillId="5" borderId="19" xfId="0" applyNumberFormat="1" applyFont="1" applyFill="1" applyBorder="1" applyAlignment="1" applyProtection="1">
      <alignment horizontal="center" vertical="center"/>
    </xf>
    <xf numFmtId="3" fontId="17" fillId="0" borderId="33" xfId="0" applyNumberFormat="1" applyFont="1" applyFill="1" applyBorder="1" applyAlignment="1" applyProtection="1">
      <alignment horizontal="right" vertical="center"/>
    </xf>
    <xf numFmtId="3" fontId="28" fillId="0" borderId="76" xfId="0" applyNumberFormat="1" applyFont="1" applyFill="1" applyBorder="1" applyAlignment="1" applyProtection="1">
      <alignment horizontal="right" vertical="center"/>
    </xf>
    <xf numFmtId="3" fontId="30" fillId="4" borderId="97" xfId="0" applyNumberFormat="1" applyFont="1" applyFill="1" applyBorder="1" applyAlignment="1" applyProtection="1">
      <alignment horizontal="right" vertical="center"/>
    </xf>
    <xf numFmtId="3" fontId="30" fillId="4" borderId="98" xfId="0" applyNumberFormat="1" applyFont="1" applyFill="1" applyBorder="1" applyAlignment="1" applyProtection="1">
      <alignment horizontal="right" vertical="center"/>
    </xf>
    <xf numFmtId="0" fontId="99" fillId="4" borderId="1" xfId="23" applyNumberFormat="1" applyFont="1" applyFill="1" applyBorder="1" applyAlignment="1" applyProtection="1">
      <alignment wrapText="1"/>
      <protection locked="0"/>
    </xf>
    <xf numFmtId="0" fontId="99" fillId="0" borderId="0" xfId="0" applyFont="1"/>
    <xf numFmtId="165" fontId="76" fillId="11" borderId="142" xfId="78" applyNumberFormat="1" applyFont="1" applyFill="1" applyBorder="1" applyAlignment="1">
      <alignment horizontal="center" vertical="center" wrapText="1"/>
    </xf>
    <xf numFmtId="165" fontId="35" fillId="4" borderId="28" xfId="77" applyNumberFormat="1" applyFont="1" applyFill="1" applyBorder="1" applyAlignment="1" applyProtection="1">
      <alignment horizontal="center" vertical="center"/>
    </xf>
    <xf numFmtId="165" fontId="35" fillId="4" borderId="29" xfId="77" applyNumberFormat="1" applyFont="1" applyFill="1" applyBorder="1" applyAlignment="1" applyProtection="1">
      <alignment horizontal="center" vertical="center"/>
    </xf>
    <xf numFmtId="165" fontId="35" fillId="4" borderId="18" xfId="77" applyNumberFormat="1" applyFont="1" applyFill="1" applyBorder="1" applyAlignment="1" applyProtection="1">
      <alignment horizontal="center" vertical="center"/>
    </xf>
    <xf numFmtId="0" fontId="36" fillId="4" borderId="1" xfId="10" applyNumberFormat="1" applyFont="1" applyFill="1" applyBorder="1" applyAlignment="1" applyProtection="1">
      <alignment wrapText="1"/>
      <protection locked="0"/>
    </xf>
    <xf numFmtId="165" fontId="46" fillId="2" borderId="33" xfId="77" applyNumberFormat="1" applyFont="1" applyFill="1" applyBorder="1" applyAlignment="1" applyProtection="1">
      <alignment horizontal="right" vertical="center"/>
    </xf>
    <xf numFmtId="0" fontId="46" fillId="2" borderId="32" xfId="0" applyNumberFormat="1" applyFont="1" applyFill="1" applyBorder="1" applyAlignment="1" applyProtection="1">
      <alignment horizontal="center" vertical="center"/>
    </xf>
    <xf numFmtId="0" fontId="46" fillId="2" borderId="33" xfId="0" applyNumberFormat="1" applyFont="1" applyFill="1" applyBorder="1" applyAlignment="1" applyProtection="1">
      <alignment horizontal="left" vertical="center"/>
    </xf>
    <xf numFmtId="165" fontId="46" fillId="2" borderId="25" xfId="77" applyNumberFormat="1" applyFont="1" applyFill="1" applyBorder="1" applyAlignment="1" applyProtection="1">
      <alignment horizontal="right" vertical="center"/>
    </xf>
    <xf numFmtId="165" fontId="35" fillId="7" borderId="33" xfId="77" applyNumberFormat="1" applyFont="1" applyFill="1" applyBorder="1" applyAlignment="1" applyProtection="1">
      <alignment horizontal="right" vertical="center"/>
    </xf>
    <xf numFmtId="165" fontId="35" fillId="2" borderId="33" xfId="77" applyNumberFormat="1" applyFont="1" applyFill="1" applyBorder="1" applyAlignment="1" applyProtection="1">
      <alignment horizontal="right" vertical="center"/>
    </xf>
    <xf numFmtId="0" fontId="46" fillId="2" borderId="33" xfId="0" applyNumberFormat="1" applyFont="1" applyFill="1" applyBorder="1" applyAlignment="1" applyProtection="1">
      <alignment horizontal="left" vertical="center" wrapText="1"/>
    </xf>
    <xf numFmtId="165" fontId="46" fillId="2" borderId="6" xfId="77" applyNumberFormat="1" applyFont="1" applyFill="1" applyBorder="1" applyAlignment="1" applyProtection="1">
      <alignment horizontal="right" vertical="center"/>
    </xf>
    <xf numFmtId="165" fontId="36" fillId="4" borderId="1" xfId="77" applyNumberFormat="1" applyFont="1" applyAlignment="1">
      <alignment wrapText="1"/>
    </xf>
    <xf numFmtId="165" fontId="26" fillId="0" borderId="0" xfId="78" applyNumberFormat="1" applyFont="1"/>
    <xf numFmtId="4" fontId="26" fillId="0" borderId="0" xfId="0" applyNumberFormat="1" applyFont="1"/>
    <xf numFmtId="0" fontId="77" fillId="0" borderId="124" xfId="0" applyFont="1" applyBorder="1" applyAlignment="1">
      <alignment vertical="center"/>
    </xf>
    <xf numFmtId="0" fontId="69" fillId="4" borderId="125" xfId="0" applyFont="1" applyFill="1" applyBorder="1"/>
    <xf numFmtId="0" fontId="33" fillId="2" borderId="33" xfId="0" applyNumberFormat="1" applyFont="1" applyFill="1" applyBorder="1" applyAlignment="1" applyProtection="1">
      <alignment horizontal="left" vertical="center" wrapText="1"/>
    </xf>
    <xf numFmtId="0" fontId="34" fillId="3" borderId="9" xfId="0" applyNumberFormat="1" applyFont="1" applyFill="1" applyBorder="1" applyAlignment="1" applyProtection="1">
      <alignment horizontal="center" vertical="center" wrapText="1"/>
    </xf>
    <xf numFmtId="0" fontId="34" fillId="3" borderId="11" xfId="0" applyNumberFormat="1" applyFont="1" applyFill="1" applyBorder="1" applyAlignment="1" applyProtection="1">
      <alignment horizontal="center" vertical="center" wrapText="1"/>
    </xf>
    <xf numFmtId="0" fontId="34" fillId="3" borderId="14" xfId="0" applyNumberFormat="1" applyFont="1" applyFill="1" applyBorder="1" applyAlignment="1" applyProtection="1">
      <alignment horizontal="center" vertical="center"/>
    </xf>
    <xf numFmtId="0" fontId="34" fillId="3" borderId="15" xfId="0" applyNumberFormat="1" applyFont="1" applyFill="1" applyBorder="1" applyAlignment="1" applyProtection="1">
      <alignment horizontal="center" vertical="center"/>
    </xf>
    <xf numFmtId="0" fontId="35" fillId="4" borderId="18" xfId="0" applyNumberFormat="1" applyFont="1" applyFill="1" applyBorder="1" applyAlignment="1" applyProtection="1">
      <alignment horizontal="center" vertical="center"/>
    </xf>
    <xf numFmtId="0" fontId="35" fillId="4" borderId="19" xfId="0" applyNumberFormat="1" applyFont="1" applyFill="1" applyBorder="1" applyAlignment="1" applyProtection="1">
      <alignment horizontal="center" vertical="center"/>
    </xf>
    <xf numFmtId="0" fontId="35" fillId="4" borderId="53" xfId="0" applyNumberFormat="1" applyFont="1" applyFill="1" applyBorder="1" applyAlignment="1" applyProtection="1">
      <alignment horizontal="center" vertical="center"/>
    </xf>
    <xf numFmtId="0" fontId="46" fillId="4" borderId="33" xfId="0" applyNumberFormat="1" applyFont="1" applyFill="1" applyBorder="1" applyAlignment="1" applyProtection="1">
      <alignment horizontal="left" vertical="center"/>
    </xf>
    <xf numFmtId="165" fontId="36" fillId="0" borderId="0" xfId="0" applyNumberFormat="1" applyFont="1"/>
    <xf numFmtId="0" fontId="36" fillId="5" borderId="1" xfId="0" applyNumberFormat="1" applyFont="1" applyFill="1" applyBorder="1" applyAlignment="1" applyProtection="1">
      <alignment wrapText="1"/>
      <protection locked="0"/>
    </xf>
    <xf numFmtId="0" fontId="36" fillId="5" borderId="0" xfId="0" applyFont="1" applyFill="1"/>
    <xf numFmtId="165" fontId="26" fillId="4" borderId="60" xfId="77" applyNumberFormat="1" applyFont="1" applyBorder="1"/>
    <xf numFmtId="0" fontId="96" fillId="4" borderId="1" xfId="0" applyNumberFormat="1" applyFont="1" applyFill="1" applyBorder="1" applyAlignment="1" applyProtection="1">
      <alignment wrapText="1"/>
      <protection locked="0"/>
    </xf>
    <xf numFmtId="0" fontId="34" fillId="3" borderId="10" xfId="0" applyNumberFormat="1" applyFont="1" applyFill="1" applyBorder="1" applyAlignment="1" applyProtection="1">
      <alignment horizontal="center" vertical="center" wrapText="1"/>
    </xf>
    <xf numFmtId="0" fontId="34" fillId="3" borderId="12" xfId="0" applyNumberFormat="1" applyFont="1" applyFill="1" applyBorder="1" applyAlignment="1" applyProtection="1">
      <alignment horizontal="center" vertical="center" wrapText="1"/>
    </xf>
    <xf numFmtId="0" fontId="34" fillId="3" borderId="13" xfId="0" applyNumberFormat="1" applyFont="1" applyFill="1" applyBorder="1" applyAlignment="1" applyProtection="1">
      <alignment horizontal="center" vertical="center" wrapText="1"/>
    </xf>
    <xf numFmtId="0" fontId="35" fillId="4" borderId="20" xfId="0" applyNumberFormat="1" applyFont="1" applyFill="1" applyBorder="1" applyAlignment="1" applyProtection="1">
      <alignment horizontal="center" vertical="center"/>
    </xf>
    <xf numFmtId="0" fontId="54" fillId="4" borderId="22" xfId="0" applyNumberFormat="1" applyFont="1" applyFill="1" applyBorder="1" applyAlignment="1" applyProtection="1">
      <alignment horizontal="center" vertical="center"/>
    </xf>
    <xf numFmtId="0" fontId="35" fillId="4" borderId="23" xfId="0" applyNumberFormat="1" applyFont="1" applyFill="1" applyBorder="1" applyAlignment="1" applyProtection="1">
      <alignment horizontal="center" vertical="center"/>
    </xf>
    <xf numFmtId="0" fontId="35" fillId="4" borderId="28" xfId="0" applyNumberFormat="1" applyFont="1" applyFill="1" applyBorder="1" applyAlignment="1" applyProtection="1">
      <alignment horizontal="center" vertical="center"/>
    </xf>
    <xf numFmtId="4" fontId="33" fillId="2" borderId="33" xfId="0" applyNumberFormat="1" applyFont="1" applyFill="1" applyBorder="1" applyAlignment="1" applyProtection="1">
      <alignment horizontal="right" vertical="center"/>
    </xf>
    <xf numFmtId="3" fontId="33" fillId="2" borderId="33" xfId="0" applyNumberFormat="1" applyFont="1" applyFill="1" applyBorder="1" applyAlignment="1" applyProtection="1">
      <alignment horizontal="right" vertical="center"/>
    </xf>
    <xf numFmtId="0" fontId="34" fillId="2" borderId="33" xfId="0" applyNumberFormat="1" applyFont="1" applyFill="1" applyBorder="1" applyAlignment="1" applyProtection="1">
      <alignment horizontal="left" vertical="center" wrapText="1"/>
    </xf>
    <xf numFmtId="4" fontId="34" fillId="2" borderId="33" xfId="0" applyNumberFormat="1" applyFont="1" applyFill="1" applyBorder="1" applyAlignment="1" applyProtection="1">
      <alignment horizontal="right" vertical="center"/>
    </xf>
    <xf numFmtId="3" fontId="34" fillId="5" borderId="33" xfId="0" applyNumberFormat="1" applyFont="1" applyFill="1" applyBorder="1" applyAlignment="1" applyProtection="1">
      <alignment horizontal="right" vertical="center"/>
    </xf>
    <xf numFmtId="0" fontId="96" fillId="0" borderId="0" xfId="0" applyFont="1"/>
    <xf numFmtId="4" fontId="68" fillId="0" borderId="0" xfId="0" applyNumberFormat="1" applyFont="1"/>
    <xf numFmtId="165" fontId="96" fillId="0" borderId="0" xfId="78" applyNumberFormat="1" applyFont="1"/>
    <xf numFmtId="3" fontId="68" fillId="0" borderId="0" xfId="0" applyNumberFormat="1" applyFont="1"/>
    <xf numFmtId="0" fontId="98" fillId="4" borderId="1" xfId="0" applyNumberFormat="1" applyFont="1" applyFill="1" applyBorder="1" applyAlignment="1" applyProtection="1">
      <alignment horizontal="left" vertical="top"/>
    </xf>
    <xf numFmtId="0" fontId="26" fillId="4" borderId="1" xfId="8" applyNumberFormat="1" applyFont="1" applyFill="1" applyBorder="1" applyAlignment="1" applyProtection="1">
      <alignment wrapText="1"/>
      <protection locked="0"/>
    </xf>
    <xf numFmtId="0" fontId="98" fillId="4" borderId="1" xfId="8" applyNumberFormat="1" applyFont="1" applyFill="1" applyBorder="1" applyAlignment="1" applyProtection="1">
      <alignment horizontal="left" vertical="top"/>
    </xf>
    <xf numFmtId="0" fontId="68" fillId="4" borderId="1" xfId="8" applyNumberFormat="1" applyFont="1" applyFill="1" applyBorder="1" applyAlignment="1" applyProtection="1">
      <alignment wrapText="1"/>
      <protection locked="0"/>
    </xf>
    <xf numFmtId="0" fontId="53" fillId="4" borderId="54" xfId="0" applyNumberFormat="1" applyFont="1" applyFill="1" applyBorder="1" applyAlignment="1" applyProtection="1">
      <alignment horizontal="center" vertical="center" wrapText="1"/>
    </xf>
    <xf numFmtId="0" fontId="53" fillId="4" borderId="55" xfId="0" applyNumberFormat="1" applyFont="1" applyFill="1" applyBorder="1" applyAlignment="1" applyProtection="1">
      <alignment horizontal="center" vertical="center" wrapText="1"/>
    </xf>
    <xf numFmtId="0" fontId="53" fillId="4" borderId="55" xfId="0" applyNumberFormat="1" applyFont="1" applyFill="1" applyBorder="1" applyAlignment="1" applyProtection="1">
      <alignment horizontal="center" vertical="center"/>
    </xf>
    <xf numFmtId="0" fontId="53" fillId="4" borderId="63" xfId="0" applyNumberFormat="1" applyFont="1" applyFill="1" applyBorder="1" applyAlignment="1" applyProtection="1">
      <alignment horizontal="center" vertical="center"/>
    </xf>
    <xf numFmtId="0" fontId="53" fillId="4" borderId="56" xfId="0" applyNumberFormat="1" applyFont="1" applyFill="1" applyBorder="1" applyAlignment="1" applyProtection="1">
      <alignment horizontal="center" vertical="center"/>
    </xf>
    <xf numFmtId="0" fontId="52" fillId="4" borderId="32" xfId="0" applyNumberFormat="1" applyFont="1" applyFill="1" applyBorder="1" applyAlignment="1" applyProtection="1">
      <alignment horizontal="center" vertical="center"/>
    </xf>
    <xf numFmtId="0" fontId="52" fillId="4" borderId="33" xfId="0" applyNumberFormat="1" applyFont="1" applyFill="1" applyBorder="1" applyAlignment="1" applyProtection="1">
      <alignment horizontal="center" vertical="center"/>
    </xf>
    <xf numFmtId="0" fontId="52" fillId="4" borderId="33" xfId="0" applyNumberFormat="1" applyFont="1" applyFill="1" applyBorder="1" applyAlignment="1" applyProtection="1">
      <alignment horizontal="left" vertical="center"/>
    </xf>
    <xf numFmtId="3" fontId="52" fillId="4" borderId="33" xfId="0" applyNumberFormat="1" applyFont="1" applyFill="1" applyBorder="1" applyAlignment="1" applyProtection="1">
      <alignment horizontal="right" vertical="center"/>
    </xf>
    <xf numFmtId="3" fontId="52" fillId="4" borderId="6" xfId="0" applyNumberFormat="1" applyFont="1" applyFill="1" applyBorder="1" applyAlignment="1" applyProtection="1">
      <alignment horizontal="right" vertical="center"/>
    </xf>
    <xf numFmtId="0" fontId="106" fillId="0" borderId="0" xfId="0" applyFont="1"/>
    <xf numFmtId="0" fontId="52" fillId="7" borderId="32" xfId="0" applyNumberFormat="1" applyFont="1" applyFill="1" applyBorder="1" applyAlignment="1" applyProtection="1">
      <alignment horizontal="center" vertical="center"/>
    </xf>
    <xf numFmtId="0" fontId="52" fillId="7" borderId="33" xfId="0" applyNumberFormat="1" applyFont="1" applyFill="1" applyBorder="1" applyAlignment="1" applyProtection="1">
      <alignment horizontal="center" vertical="center"/>
    </xf>
    <xf numFmtId="0" fontId="52" fillId="7" borderId="33" xfId="0" applyNumberFormat="1" applyFont="1" applyFill="1" applyBorder="1" applyAlignment="1" applyProtection="1">
      <alignment horizontal="left" vertical="center"/>
    </xf>
    <xf numFmtId="3" fontId="52" fillId="7" borderId="33" xfId="0" applyNumberFormat="1" applyFont="1" applyFill="1" applyBorder="1" applyAlignment="1" applyProtection="1">
      <alignment horizontal="right" vertical="center"/>
    </xf>
    <xf numFmtId="3" fontId="52" fillId="7" borderId="6" xfId="0" applyNumberFormat="1" applyFont="1" applyFill="1" applyBorder="1" applyAlignment="1" applyProtection="1">
      <alignment horizontal="right" vertical="center"/>
    </xf>
    <xf numFmtId="0" fontId="55" fillId="4" borderId="1" xfId="0" applyNumberFormat="1" applyFont="1" applyFill="1" applyBorder="1" applyAlignment="1" applyProtection="1">
      <alignment wrapText="1"/>
      <protection locked="0"/>
    </xf>
    <xf numFmtId="3" fontId="52" fillId="4" borderId="59" xfId="0" applyNumberFormat="1" applyFont="1" applyFill="1" applyBorder="1" applyAlignment="1" applyProtection="1">
      <alignment horizontal="right" vertical="center"/>
    </xf>
    <xf numFmtId="0" fontId="55" fillId="0" borderId="0" xfId="0" applyFont="1"/>
    <xf numFmtId="0" fontId="52" fillId="4" borderId="33" xfId="74" applyNumberFormat="1" applyFont="1" applyFill="1" applyBorder="1" applyAlignment="1" applyProtection="1">
      <alignment horizontal="center" vertical="center"/>
    </xf>
    <xf numFmtId="4" fontId="68" fillId="9" borderId="0" xfId="92" applyNumberFormat="1" applyFont="1"/>
    <xf numFmtId="0" fontId="52" fillId="4" borderId="33" xfId="0" applyFont="1" applyFill="1" applyBorder="1" applyAlignment="1" applyProtection="1">
      <alignment horizontal="left" vertical="center"/>
    </xf>
    <xf numFmtId="4" fontId="55" fillId="0" borderId="0" xfId="0" applyNumberFormat="1" applyFont="1"/>
    <xf numFmtId="3" fontId="52" fillId="0" borderId="33" xfId="0" applyNumberFormat="1" applyFont="1" applyFill="1" applyBorder="1" applyAlignment="1" applyProtection="1">
      <alignment horizontal="right" vertical="center"/>
    </xf>
    <xf numFmtId="167" fontId="26" fillId="0" borderId="0" xfId="78" applyNumberFormat="1" applyFont="1"/>
    <xf numFmtId="0" fontId="18" fillId="4" borderId="1" xfId="534"/>
    <xf numFmtId="0" fontId="0" fillId="4" borderId="1" xfId="534" applyNumberFormat="1" applyFont="1" applyFill="1" applyBorder="1" applyAlignment="1" applyProtection="1">
      <alignment wrapText="1"/>
      <protection locked="0"/>
    </xf>
    <xf numFmtId="0" fontId="1" fillId="4" borderId="1" xfId="534" applyNumberFormat="1" applyFont="1" applyFill="1" applyBorder="1" applyAlignment="1" applyProtection="1">
      <alignment horizontal="left" vertical="top"/>
    </xf>
    <xf numFmtId="0" fontId="58" fillId="4" borderId="17" xfId="534" applyNumberFormat="1" applyFont="1" applyFill="1" applyBorder="1" applyAlignment="1" applyProtection="1">
      <alignment horizontal="center" vertical="center"/>
    </xf>
    <xf numFmtId="0" fontId="58" fillId="4" borderId="18" xfId="534" applyNumberFormat="1" applyFont="1" applyFill="1" applyBorder="1" applyAlignment="1" applyProtection="1">
      <alignment horizontal="center" vertical="center"/>
    </xf>
    <xf numFmtId="0" fontId="58" fillId="4" borderId="19" xfId="534" applyNumberFormat="1" applyFont="1" applyFill="1" applyBorder="1" applyAlignment="1" applyProtection="1">
      <alignment horizontal="center" vertical="center"/>
    </xf>
    <xf numFmtId="0" fontId="57" fillId="3" borderId="42" xfId="534" applyNumberFormat="1" applyFont="1" applyFill="1" applyBorder="1" applyAlignment="1" applyProtection="1">
      <alignment horizontal="left" vertical="center" wrapText="1"/>
    </xf>
    <xf numFmtId="0" fontId="57" fillId="3" borderId="9" xfId="534" applyNumberFormat="1" applyFont="1" applyFill="1" applyBorder="1" applyAlignment="1" applyProtection="1">
      <alignment horizontal="center" vertical="center" wrapText="1"/>
    </xf>
    <xf numFmtId="0" fontId="57" fillId="3" borderId="50" xfId="534" applyNumberFormat="1" applyFont="1" applyFill="1" applyBorder="1" applyAlignment="1" applyProtection="1">
      <alignment horizontal="center" vertical="center" wrapText="1"/>
    </xf>
    <xf numFmtId="0" fontId="57" fillId="3" borderId="12" xfId="534" applyNumberFormat="1" applyFont="1" applyFill="1" applyBorder="1" applyAlignment="1" applyProtection="1">
      <alignment horizontal="center" vertical="center" wrapText="1"/>
    </xf>
    <xf numFmtId="0" fontId="57" fillId="3" borderId="11" xfId="534" applyNumberFormat="1" applyFont="1" applyFill="1" applyBorder="1" applyAlignment="1" applyProtection="1">
      <alignment horizontal="center" vertical="center" wrapText="1"/>
    </xf>
    <xf numFmtId="0" fontId="57" fillId="3" borderId="51" xfId="534" applyNumberFormat="1" applyFont="1" applyFill="1" applyBorder="1" applyAlignment="1" applyProtection="1">
      <alignment horizontal="center" vertical="center" wrapText="1"/>
    </xf>
    <xf numFmtId="0" fontId="57" fillId="3" borderId="14" xfId="534" applyNumberFormat="1" applyFont="1" applyFill="1" applyBorder="1" applyAlignment="1" applyProtection="1">
      <alignment horizontal="center" vertical="center"/>
    </xf>
    <xf numFmtId="0" fontId="59" fillId="4" borderId="33" xfId="534" applyNumberFormat="1" applyFont="1" applyFill="1" applyBorder="1" applyAlignment="1" applyProtection="1">
      <alignment horizontal="left" vertical="center" wrapText="1"/>
    </xf>
    <xf numFmtId="3" fontId="59" fillId="4" borderId="33" xfId="534" applyNumberFormat="1" applyFont="1" applyFill="1" applyBorder="1" applyAlignment="1" applyProtection="1">
      <alignment horizontal="right" vertical="center"/>
    </xf>
    <xf numFmtId="3" fontId="59" fillId="4" borderId="70" xfId="534" applyNumberFormat="1" applyFont="1" applyFill="1" applyBorder="1" applyAlignment="1" applyProtection="1">
      <alignment horizontal="right" vertical="center"/>
    </xf>
    <xf numFmtId="0" fontId="59" fillId="4" borderId="33" xfId="534" applyNumberFormat="1" applyFont="1" applyFill="1" applyBorder="1" applyAlignment="1" applyProtection="1">
      <alignment horizontal="right" vertical="center"/>
    </xf>
    <xf numFmtId="0" fontId="59" fillId="4" borderId="33" xfId="534" applyNumberFormat="1" applyFont="1" applyFill="1" applyBorder="1" applyAlignment="1" applyProtection="1">
      <alignment horizontal="left" vertical="center"/>
    </xf>
    <xf numFmtId="0" fontId="59" fillId="4" borderId="70" xfId="534" applyNumberFormat="1" applyFont="1" applyFill="1" applyBorder="1" applyAlignment="1" applyProtection="1">
      <alignment horizontal="right" vertical="center"/>
    </xf>
    <xf numFmtId="3" fontId="60" fillId="4" borderId="33" xfId="534" applyNumberFormat="1" applyFont="1" applyFill="1" applyBorder="1" applyAlignment="1" applyProtection="1">
      <alignment horizontal="right" vertical="center"/>
    </xf>
    <xf numFmtId="0" fontId="60" fillId="4" borderId="33" xfId="534" applyNumberFormat="1" applyFont="1" applyFill="1" applyBorder="1" applyAlignment="1" applyProtection="1">
      <alignment horizontal="right" vertical="center"/>
    </xf>
    <xf numFmtId="0" fontId="60" fillId="4" borderId="33" xfId="534" applyNumberFormat="1" applyFont="1" applyFill="1" applyBorder="1" applyAlignment="1" applyProtection="1">
      <alignment horizontal="left" vertical="center" wrapText="1"/>
    </xf>
    <xf numFmtId="4" fontId="59" fillId="4" borderId="33" xfId="534" applyNumberFormat="1" applyFont="1" applyFill="1" applyBorder="1" applyAlignment="1" applyProtection="1">
      <alignment horizontal="right" vertical="center"/>
    </xf>
    <xf numFmtId="0" fontId="58" fillId="4" borderId="113" xfId="534" applyNumberFormat="1" applyFont="1" applyFill="1" applyBorder="1" applyAlignment="1" applyProtection="1">
      <alignment horizontal="center" vertical="center"/>
    </xf>
    <xf numFmtId="0" fontId="58" fillId="4" borderId="114" xfId="534" applyNumberFormat="1" applyFont="1" applyFill="1" applyBorder="1" applyAlignment="1" applyProtection="1">
      <alignment horizontal="center" vertical="center"/>
    </xf>
    <xf numFmtId="165" fontId="58" fillId="4" borderId="113" xfId="534" applyNumberFormat="1" applyFont="1" applyFill="1" applyBorder="1" applyAlignment="1" applyProtection="1">
      <alignment horizontal="center" vertical="center"/>
    </xf>
    <xf numFmtId="0" fontId="58" fillId="4" borderId="60" xfId="534" applyNumberFormat="1" applyFont="1" applyFill="1" applyBorder="1" applyAlignment="1" applyProtection="1">
      <alignment horizontal="center" vertical="center"/>
    </xf>
    <xf numFmtId="165" fontId="58" fillId="4" borderId="60" xfId="535" applyNumberFormat="1" applyFont="1" applyFill="1" applyBorder="1" applyAlignment="1" applyProtection="1">
      <alignment horizontal="center" vertical="center"/>
    </xf>
    <xf numFmtId="0" fontId="58" fillId="4" borderId="60" xfId="534" applyNumberFormat="1" applyFont="1" applyFill="1" applyBorder="1" applyAlignment="1" applyProtection="1">
      <alignment horizontal="center" vertical="center" wrapText="1"/>
    </xf>
    <xf numFmtId="0" fontId="57" fillId="3" borderId="84" xfId="534" applyNumberFormat="1" applyFont="1" applyFill="1" applyBorder="1" applyAlignment="1" applyProtection="1">
      <alignment horizontal="left" vertical="center" wrapText="1"/>
    </xf>
    <xf numFmtId="0" fontId="57" fillId="3" borderId="85" xfId="534" applyNumberFormat="1" applyFont="1" applyFill="1" applyBorder="1" applyAlignment="1" applyProtection="1">
      <alignment horizontal="left" vertical="center" wrapText="1"/>
    </xf>
    <xf numFmtId="0" fontId="57" fillId="3" borderId="88" xfId="534" applyNumberFormat="1" applyFont="1" applyFill="1" applyBorder="1" applyAlignment="1" applyProtection="1">
      <alignment horizontal="left" vertical="center" wrapText="1"/>
    </xf>
    <xf numFmtId="0" fontId="57" fillId="3" borderId="90" xfId="534" applyNumberFormat="1" applyFont="1" applyFill="1" applyBorder="1" applyAlignment="1" applyProtection="1">
      <alignment horizontal="center" vertical="center"/>
    </xf>
    <xf numFmtId="0" fontId="59" fillId="4" borderId="75" xfId="534" applyNumberFormat="1" applyFont="1" applyFill="1" applyBorder="1" applyAlignment="1" applyProtection="1">
      <alignment horizontal="center" vertical="center"/>
    </xf>
    <xf numFmtId="0" fontId="58" fillId="4" borderId="77" xfId="534" applyNumberFormat="1" applyFont="1" applyFill="1" applyBorder="1" applyAlignment="1" applyProtection="1">
      <alignment horizontal="center" vertical="center" wrapText="1"/>
    </xf>
    <xf numFmtId="0" fontId="58" fillId="4" borderId="101" xfId="534" applyNumberFormat="1" applyFont="1" applyFill="1" applyBorder="1" applyAlignment="1" applyProtection="1">
      <alignment horizontal="center" vertical="center"/>
    </xf>
    <xf numFmtId="0" fontId="7" fillId="2" borderId="33" xfId="534" applyNumberFormat="1" applyFont="1" applyFill="1" applyBorder="1" applyAlignment="1" applyProtection="1">
      <alignment horizontal="left" vertical="center" wrapText="1"/>
    </xf>
    <xf numFmtId="3" fontId="18" fillId="4" borderId="1" xfId="534" applyNumberFormat="1"/>
    <xf numFmtId="165" fontId="58" fillId="4" borderId="101" xfId="535" applyNumberFormat="1" applyFont="1" applyFill="1" applyBorder="1" applyAlignment="1" applyProtection="1">
      <alignment horizontal="center" vertical="center"/>
    </xf>
    <xf numFmtId="3" fontId="59" fillId="5" borderId="33" xfId="534" applyNumberFormat="1" applyFont="1" applyFill="1" applyBorder="1" applyAlignment="1" applyProtection="1">
      <alignment horizontal="right" vertical="center"/>
    </xf>
    <xf numFmtId="1" fontId="59" fillId="5" borderId="33" xfId="534" applyNumberFormat="1" applyFont="1" applyFill="1" applyBorder="1" applyAlignment="1" applyProtection="1">
      <alignment horizontal="right" vertical="center"/>
    </xf>
    <xf numFmtId="3" fontId="59" fillId="5" borderId="70" xfId="534" applyNumberFormat="1" applyFont="1" applyFill="1" applyBorder="1" applyAlignment="1" applyProtection="1">
      <alignment horizontal="right" vertical="center"/>
    </xf>
    <xf numFmtId="0" fontId="59" fillId="5" borderId="70" xfId="534" applyNumberFormat="1" applyFont="1" applyFill="1" applyBorder="1" applyAlignment="1" applyProtection="1">
      <alignment horizontal="right" vertical="center"/>
    </xf>
    <xf numFmtId="0" fontId="59" fillId="5" borderId="33" xfId="534" applyNumberFormat="1" applyFont="1" applyFill="1" applyBorder="1" applyAlignment="1" applyProtection="1">
      <alignment horizontal="right" vertical="center"/>
    </xf>
    <xf numFmtId="169" fontId="59" fillId="5" borderId="33" xfId="534" applyNumberFormat="1" applyFont="1" applyFill="1" applyBorder="1" applyAlignment="1" applyProtection="1">
      <alignment horizontal="right" vertical="center"/>
    </xf>
    <xf numFmtId="3" fontId="60" fillId="5" borderId="33" xfId="534" applyNumberFormat="1" applyFont="1" applyFill="1" applyBorder="1" applyAlignment="1" applyProtection="1">
      <alignment horizontal="right" vertical="center"/>
    </xf>
    <xf numFmtId="0" fontId="58" fillId="5" borderId="114" xfId="534" applyNumberFormat="1" applyFont="1" applyFill="1" applyBorder="1" applyAlignment="1" applyProtection="1">
      <alignment horizontal="center" vertical="center"/>
    </xf>
    <xf numFmtId="0" fontId="58" fillId="5" borderId="23" xfId="534" applyNumberFormat="1" applyFont="1" applyFill="1" applyBorder="1" applyAlignment="1" applyProtection="1">
      <alignment horizontal="center" vertical="center"/>
    </xf>
    <xf numFmtId="0" fontId="58" fillId="5" borderId="113" xfId="534" applyNumberFormat="1" applyFont="1" applyFill="1" applyBorder="1" applyAlignment="1" applyProtection="1">
      <alignment horizontal="center" vertical="center"/>
    </xf>
    <xf numFmtId="0" fontId="58" fillId="5" borderId="60" xfId="534" applyNumberFormat="1" applyFont="1" applyFill="1" applyBorder="1" applyAlignment="1" applyProtection="1">
      <alignment horizontal="center" vertical="center"/>
    </xf>
    <xf numFmtId="165" fontId="58" fillId="5" borderId="101" xfId="535" applyNumberFormat="1" applyFont="1" applyFill="1" applyBorder="1" applyAlignment="1" applyProtection="1">
      <alignment horizontal="center" vertical="center"/>
    </xf>
    <xf numFmtId="165" fontId="59" fillId="5" borderId="33" xfId="535" applyNumberFormat="1" applyFont="1" applyFill="1" applyBorder="1" applyAlignment="1" applyProtection="1">
      <alignment horizontal="right" vertical="center"/>
    </xf>
    <xf numFmtId="0" fontId="59" fillId="4" borderId="60" xfId="534" applyNumberFormat="1" applyFont="1" applyFill="1" applyBorder="1" applyAlignment="1" applyProtection="1">
      <alignment horizontal="left" vertical="center" wrapText="1"/>
    </xf>
    <xf numFmtId="0" fontId="47" fillId="4" borderId="77" xfId="534" applyNumberFormat="1" applyFont="1" applyFill="1" applyBorder="1" applyAlignment="1" applyProtection="1">
      <alignment horizontal="center" vertical="center"/>
    </xf>
    <xf numFmtId="0" fontId="105" fillId="4" borderId="1" xfId="0" applyNumberFormat="1" applyFont="1" applyFill="1" applyBorder="1" applyAlignment="1" applyProtection="1">
      <alignment horizontal="left" vertical="center"/>
    </xf>
    <xf numFmtId="0" fontId="33" fillId="2" borderId="32" xfId="0" applyNumberFormat="1" applyFont="1" applyFill="1" applyBorder="1" applyAlignment="1" applyProtection="1">
      <alignment horizontal="center" vertical="center"/>
    </xf>
    <xf numFmtId="0" fontId="54" fillId="4" borderId="21" xfId="0" applyNumberFormat="1" applyFont="1" applyFill="1" applyBorder="1" applyAlignment="1" applyProtection="1">
      <alignment horizontal="center" vertical="center"/>
    </xf>
    <xf numFmtId="0" fontId="34" fillId="3" borderId="7" xfId="0" applyNumberFormat="1" applyFont="1" applyFill="1" applyBorder="1" applyAlignment="1" applyProtection="1">
      <alignment horizontal="center" vertical="center"/>
    </xf>
    <xf numFmtId="0" fontId="46" fillId="4" borderId="21" xfId="0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left" vertical="center"/>
    </xf>
    <xf numFmtId="0" fontId="12" fillId="4" borderId="1" xfId="0" applyNumberFormat="1" applyFont="1" applyFill="1" applyBorder="1" applyAlignment="1" applyProtection="1">
      <alignment horizontal="left" vertical="top"/>
    </xf>
    <xf numFmtId="0" fontId="12" fillId="4" borderId="1" xfId="0" applyFont="1" applyFill="1" applyBorder="1" applyAlignment="1">
      <alignment horizontal="left" vertical="top"/>
    </xf>
    <xf numFmtId="0" fontId="14" fillId="4" borderId="1" xfId="0" applyFont="1" applyFill="1" applyBorder="1" applyAlignment="1">
      <alignment horizontal="left" vertical="center"/>
    </xf>
    <xf numFmtId="0" fontId="12" fillId="4" borderId="1" xfId="11" applyNumberFormat="1" applyFont="1" applyFill="1" applyBorder="1" applyAlignment="1" applyProtection="1">
      <alignment horizontal="left" vertical="top"/>
    </xf>
    <xf numFmtId="0" fontId="14" fillId="4" borderId="1" xfId="11" applyNumberFormat="1" applyFont="1" applyFill="1" applyBorder="1" applyAlignment="1" applyProtection="1">
      <alignment horizontal="left" vertical="center"/>
    </xf>
    <xf numFmtId="0" fontId="65" fillId="4" borderId="1" xfId="0" applyNumberFormat="1" applyFont="1" applyFill="1" applyBorder="1" applyAlignment="1" applyProtection="1">
      <alignment horizontal="left" vertical="center"/>
    </xf>
    <xf numFmtId="0" fontId="66" fillId="4" borderId="8" xfId="0" applyNumberFormat="1" applyFont="1" applyFill="1" applyBorder="1" applyAlignment="1" applyProtection="1">
      <alignment horizontal="center" vertical="center" wrapText="1"/>
    </xf>
    <xf numFmtId="0" fontId="66" fillId="4" borderId="8" xfId="0" applyNumberFormat="1" applyFont="1" applyFill="1" applyBorder="1" applyAlignment="1" applyProtection="1">
      <alignment horizontal="center" vertical="center"/>
    </xf>
    <xf numFmtId="0" fontId="67" fillId="4" borderId="8" xfId="0" applyNumberFormat="1" applyFont="1" applyFill="1" applyBorder="1" applyAlignment="1" applyProtection="1">
      <alignment horizontal="center" vertical="center" wrapText="1"/>
    </xf>
    <xf numFmtId="0" fontId="22" fillId="4" borderId="33" xfId="0" applyNumberFormat="1" applyFont="1" applyFill="1" applyBorder="1" applyAlignment="1" applyProtection="1">
      <alignment horizontal="left" vertical="center" wrapText="1"/>
    </xf>
    <xf numFmtId="3" fontId="22" fillId="4" borderId="33" xfId="0" applyNumberFormat="1" applyFont="1" applyFill="1" applyBorder="1" applyAlignment="1" applyProtection="1">
      <alignment horizontal="right" vertical="center"/>
    </xf>
    <xf numFmtId="0" fontId="77" fillId="0" borderId="60" xfId="0" applyFont="1" applyBorder="1" applyAlignment="1">
      <alignment vertical="center"/>
    </xf>
    <xf numFmtId="0" fontId="36" fillId="4" borderId="0" xfId="0" applyFont="1" applyFill="1" applyAlignment="1" applyProtection="1">
      <alignment wrapText="1"/>
      <protection locked="0"/>
    </xf>
    <xf numFmtId="0" fontId="34" fillId="4" borderId="60" xfId="0" applyFont="1" applyFill="1" applyBorder="1" applyAlignment="1">
      <alignment horizontal="right" vertical="center"/>
    </xf>
    <xf numFmtId="164" fontId="34" fillId="4" borderId="60" xfId="0" applyNumberFormat="1" applyFont="1" applyFill="1" applyBorder="1" applyAlignment="1">
      <alignment horizontal="left" vertical="center"/>
    </xf>
    <xf numFmtId="0" fontId="34" fillId="4" borderId="60" xfId="0" applyFont="1" applyFill="1" applyBorder="1" applyAlignment="1">
      <alignment horizontal="center" vertical="center" wrapText="1"/>
    </xf>
    <xf numFmtId="0" fontId="34" fillId="4" borderId="60" xfId="0" applyFont="1" applyFill="1" applyBorder="1" applyAlignment="1">
      <alignment horizontal="center" vertical="center"/>
    </xf>
    <xf numFmtId="0" fontId="35" fillId="4" borderId="60" xfId="0" applyFont="1" applyFill="1" applyBorder="1" applyAlignment="1">
      <alignment horizontal="center" vertical="center"/>
    </xf>
    <xf numFmtId="0" fontId="46" fillId="4" borderId="60" xfId="0" applyFont="1" applyFill="1" applyBorder="1" applyAlignment="1">
      <alignment horizontal="center" vertical="center"/>
    </xf>
    <xf numFmtId="0" fontId="54" fillId="4" borderId="60" xfId="0" applyFont="1" applyFill="1" applyBorder="1" applyAlignment="1">
      <alignment horizontal="center" vertical="center"/>
    </xf>
    <xf numFmtId="0" fontId="36" fillId="4" borderId="1" xfId="0" applyFont="1" applyFill="1" applyBorder="1"/>
    <xf numFmtId="0" fontId="85" fillId="4" borderId="1" xfId="0" applyFont="1" applyFill="1" applyBorder="1"/>
    <xf numFmtId="0" fontId="33" fillId="4" borderId="60" xfId="0" applyFont="1" applyFill="1" applyBorder="1" applyAlignment="1">
      <alignment horizontal="center" vertical="center"/>
    </xf>
    <xf numFmtId="0" fontId="33" fillId="4" borderId="60" xfId="0" applyFont="1" applyFill="1" applyBorder="1" applyAlignment="1">
      <alignment horizontal="left" vertical="center"/>
    </xf>
    <xf numFmtId="3" fontId="33" fillId="4" borderId="60" xfId="0" applyNumberFormat="1" applyFont="1" applyFill="1" applyBorder="1" applyAlignment="1">
      <alignment horizontal="right" vertical="center"/>
    </xf>
    <xf numFmtId="166" fontId="33" fillId="4" borderId="60" xfId="0" applyNumberFormat="1" applyFont="1" applyFill="1" applyBorder="1" applyAlignment="1">
      <alignment horizontal="right" vertical="center"/>
    </xf>
    <xf numFmtId="4" fontId="33" fillId="4" borderId="60" xfId="0" applyNumberFormat="1" applyFont="1" applyFill="1" applyBorder="1" applyAlignment="1">
      <alignment horizontal="right" vertical="center"/>
    </xf>
    <xf numFmtId="4" fontId="36" fillId="4" borderId="1" xfId="0" applyNumberFormat="1" applyFont="1" applyFill="1" applyBorder="1"/>
    <xf numFmtId="4" fontId="33" fillId="4" borderId="1" xfId="0" applyNumberFormat="1" applyFont="1" applyFill="1" applyBorder="1" applyAlignment="1">
      <alignment horizontal="right" vertical="center"/>
    </xf>
    <xf numFmtId="0" fontId="34" fillId="4" borderId="60" xfId="0" applyFont="1" applyFill="1" applyBorder="1" applyAlignment="1">
      <alignment horizontal="left" vertical="center"/>
    </xf>
    <xf numFmtId="3" fontId="34" fillId="4" borderId="60" xfId="0" applyNumberFormat="1" applyFont="1" applyFill="1" applyBorder="1" applyAlignment="1">
      <alignment horizontal="right" vertical="center"/>
    </xf>
    <xf numFmtId="166" fontId="34" fillId="4" borderId="60" xfId="0" applyNumberFormat="1" applyFont="1" applyFill="1" applyBorder="1" applyAlignment="1">
      <alignment horizontal="right" vertical="center"/>
    </xf>
    <xf numFmtId="3" fontId="36" fillId="4" borderId="0" xfId="0" applyNumberFormat="1" applyFont="1" applyFill="1"/>
    <xf numFmtId="0" fontId="34" fillId="4" borderId="60" xfId="0" applyFont="1" applyFill="1" applyBorder="1" applyAlignment="1">
      <alignment horizontal="left" vertical="center" wrapText="1"/>
    </xf>
    <xf numFmtId="3" fontId="35" fillId="4" borderId="60" xfId="0" applyNumberFormat="1" applyFont="1" applyFill="1" applyBorder="1" applyAlignment="1">
      <alignment horizontal="center" vertical="center"/>
    </xf>
    <xf numFmtId="166" fontId="35" fillId="4" borderId="60" xfId="0" applyNumberFormat="1" applyFont="1" applyFill="1" applyBorder="1" applyAlignment="1">
      <alignment horizontal="center" vertical="center"/>
    </xf>
    <xf numFmtId="4" fontId="34" fillId="4" borderId="60" xfId="0" applyNumberFormat="1" applyFont="1" applyFill="1" applyBorder="1" applyAlignment="1">
      <alignment horizontal="right" vertical="center"/>
    </xf>
    <xf numFmtId="0" fontId="33" fillId="4" borderId="60" xfId="0" applyFont="1" applyFill="1" applyBorder="1" applyAlignment="1">
      <alignment horizontal="left" vertical="center" wrapText="1"/>
    </xf>
    <xf numFmtId="3" fontId="33" fillId="4" borderId="60" xfId="77" applyNumberFormat="1" applyFont="1" applyFill="1" applyBorder="1"/>
    <xf numFmtId="3" fontId="33" fillId="4" borderId="60" xfId="77" applyNumberFormat="1" applyFont="1" applyFill="1" applyBorder="1" applyAlignment="1">
      <alignment horizontal="right" vertical="center" wrapText="1"/>
    </xf>
    <xf numFmtId="0" fontId="34" fillId="3" borderId="44" xfId="0" applyNumberFormat="1" applyFont="1" applyFill="1" applyBorder="1" applyAlignment="1" applyProtection="1">
      <alignment horizontal="right" vertical="center"/>
    </xf>
    <xf numFmtId="164" fontId="34" fillId="3" borderId="45" xfId="0" applyNumberFormat="1" applyFont="1" applyFill="1" applyBorder="1" applyAlignment="1" applyProtection="1">
      <alignment horizontal="left" vertical="center"/>
    </xf>
    <xf numFmtId="165" fontId="33" fillId="2" borderId="25" xfId="78" applyNumberFormat="1" applyFont="1" applyFill="1" applyBorder="1" applyAlignment="1" applyProtection="1">
      <alignment horizontal="right" vertical="center"/>
    </xf>
    <xf numFmtId="0" fontId="35" fillId="4" borderId="29" xfId="0" applyNumberFormat="1" applyFont="1" applyFill="1" applyBorder="1" applyAlignment="1" applyProtection="1">
      <alignment horizontal="center" vertical="center"/>
    </xf>
    <xf numFmtId="0" fontId="35" fillId="4" borderId="30" xfId="0" applyNumberFormat="1" applyFont="1" applyFill="1" applyBorder="1" applyAlignment="1" applyProtection="1">
      <alignment horizontal="center" vertical="center"/>
    </xf>
    <xf numFmtId="3" fontId="96" fillId="4" borderId="0" xfId="0" applyNumberFormat="1" applyFont="1" applyFill="1"/>
    <xf numFmtId="0" fontId="98" fillId="4" borderId="1" xfId="10" applyNumberFormat="1" applyFont="1" applyFill="1" applyBorder="1" applyAlignment="1" applyProtection="1">
      <alignment horizontal="left" vertical="top"/>
    </xf>
    <xf numFmtId="0" fontId="68" fillId="4" borderId="1" xfId="10" applyNumberFormat="1" applyFont="1" applyFill="1" applyBorder="1" applyAlignment="1" applyProtection="1">
      <alignment wrapText="1"/>
      <protection locked="0"/>
    </xf>
    <xf numFmtId="165" fontId="68" fillId="4" borderId="1" xfId="77" applyNumberFormat="1" applyFont="1" applyFill="1" applyBorder="1" applyAlignment="1" applyProtection="1">
      <alignment wrapText="1"/>
      <protection locked="0"/>
    </xf>
    <xf numFmtId="0" fontId="68" fillId="4" borderId="1" xfId="0" applyNumberFormat="1" applyFont="1" applyFill="1" applyBorder="1" applyAlignment="1" applyProtection="1">
      <alignment wrapText="1"/>
      <protection locked="0"/>
    </xf>
    <xf numFmtId="0" fontId="35" fillId="3" borderId="41" xfId="0" applyNumberFormat="1" applyFont="1" applyFill="1" applyBorder="1" applyAlignment="1" applyProtection="1">
      <alignment horizontal="left" vertical="center"/>
    </xf>
    <xf numFmtId="165" fontId="35" fillId="3" borderId="44" xfId="77" applyNumberFormat="1" applyFont="1" applyFill="1" applyBorder="1" applyAlignment="1" applyProtection="1">
      <alignment horizontal="right" vertical="center"/>
    </xf>
    <xf numFmtId="165" fontId="35" fillId="3" borderId="9" xfId="77" applyNumberFormat="1" applyFont="1" applyFill="1" applyBorder="1" applyAlignment="1" applyProtection="1">
      <alignment horizontal="center" vertical="center" wrapText="1"/>
    </xf>
    <xf numFmtId="165" fontId="35" fillId="3" borderId="7" xfId="77" applyNumberFormat="1" applyFont="1" applyFill="1" applyBorder="1" applyAlignment="1" applyProtection="1">
      <alignment horizontal="center" vertical="center"/>
    </xf>
    <xf numFmtId="165" fontId="35" fillId="3" borderId="10" xfId="77" applyNumberFormat="1" applyFont="1" applyFill="1" applyBorder="1" applyAlignment="1" applyProtection="1">
      <alignment horizontal="center" vertical="center" wrapText="1"/>
    </xf>
    <xf numFmtId="165" fontId="35" fillId="3" borderId="11" xfId="77" applyNumberFormat="1" applyFont="1" applyFill="1" applyBorder="1" applyAlignment="1" applyProtection="1">
      <alignment horizontal="center" vertical="center" wrapText="1"/>
    </xf>
    <xf numFmtId="165" fontId="35" fillId="3" borderId="12" xfId="77" applyNumberFormat="1" applyFont="1" applyFill="1" applyBorder="1" applyAlignment="1" applyProtection="1">
      <alignment horizontal="center" vertical="center" wrapText="1"/>
    </xf>
    <xf numFmtId="165" fontId="35" fillId="3" borderId="13" xfId="77" applyNumberFormat="1" applyFont="1" applyFill="1" applyBorder="1" applyAlignment="1" applyProtection="1">
      <alignment horizontal="center" vertical="center" wrapText="1"/>
    </xf>
    <xf numFmtId="165" fontId="35" fillId="3" borderId="14" xfId="77" applyNumberFormat="1" applyFont="1" applyFill="1" applyBorder="1" applyAlignment="1" applyProtection="1">
      <alignment horizontal="center" vertical="center"/>
    </xf>
    <xf numFmtId="165" fontId="35" fillId="3" borderId="15" xfId="77" applyNumberFormat="1" applyFont="1" applyFill="1" applyBorder="1" applyAlignment="1" applyProtection="1">
      <alignment horizontal="center" vertical="center"/>
    </xf>
    <xf numFmtId="165" fontId="35" fillId="4" borderId="19" xfId="77" applyNumberFormat="1" applyFont="1" applyFill="1" applyBorder="1" applyAlignment="1" applyProtection="1">
      <alignment horizontal="center" vertical="center"/>
    </xf>
    <xf numFmtId="165" fontId="35" fillId="4" borderId="20" xfId="77" applyNumberFormat="1" applyFont="1" applyFill="1" applyBorder="1" applyAlignment="1" applyProtection="1">
      <alignment horizontal="center" vertical="center"/>
    </xf>
    <xf numFmtId="0" fontId="35" fillId="4" borderId="21" xfId="0" applyNumberFormat="1" applyFont="1" applyFill="1" applyBorder="1" applyAlignment="1" applyProtection="1">
      <alignment horizontal="center" vertical="center"/>
    </xf>
    <xf numFmtId="0" fontId="46" fillId="4" borderId="22" xfId="0" applyNumberFormat="1" applyFont="1" applyFill="1" applyBorder="1" applyAlignment="1" applyProtection="1">
      <alignment horizontal="center" vertical="center"/>
    </xf>
    <xf numFmtId="165" fontId="35" fillId="4" borderId="23" xfId="77" applyNumberFormat="1" applyFont="1" applyFill="1" applyBorder="1" applyAlignment="1" applyProtection="1">
      <alignment horizontal="center" vertical="center"/>
    </xf>
    <xf numFmtId="165" fontId="46" fillId="2" borderId="26" xfId="77" applyNumberFormat="1" applyFont="1" applyFill="1" applyBorder="1" applyAlignment="1" applyProtection="1">
      <alignment horizontal="right" vertical="center"/>
    </xf>
    <xf numFmtId="0" fontId="35" fillId="7" borderId="32" xfId="0" applyNumberFormat="1" applyFont="1" applyFill="1" applyBorder="1" applyAlignment="1" applyProtection="1">
      <alignment horizontal="center" vertical="center"/>
    </xf>
    <xf numFmtId="0" fontId="35" fillId="7" borderId="33" xfId="0" applyNumberFormat="1" applyFont="1" applyFill="1" applyBorder="1" applyAlignment="1" applyProtection="1">
      <alignment horizontal="left" vertical="center"/>
    </xf>
    <xf numFmtId="165" fontId="35" fillId="7" borderId="25" xfId="77" applyNumberFormat="1" applyFont="1" applyFill="1" applyBorder="1" applyAlignment="1" applyProtection="1">
      <alignment horizontal="right" vertical="center"/>
    </xf>
    <xf numFmtId="165" fontId="35" fillId="7" borderId="6" xfId="77" applyNumberFormat="1" applyFont="1" applyFill="1" applyBorder="1" applyAlignment="1" applyProtection="1">
      <alignment horizontal="right" vertical="center"/>
    </xf>
    <xf numFmtId="0" fontId="35" fillId="2" borderId="32" xfId="0" applyNumberFormat="1" applyFont="1" applyFill="1" applyBorder="1" applyAlignment="1" applyProtection="1">
      <alignment horizontal="center" vertical="center"/>
    </xf>
    <xf numFmtId="0" fontId="35" fillId="2" borderId="33" xfId="0" applyNumberFormat="1" applyFont="1" applyFill="1" applyBorder="1" applyAlignment="1" applyProtection="1">
      <alignment horizontal="left" vertical="center"/>
    </xf>
    <xf numFmtId="165" fontId="35" fillId="2" borderId="6" xfId="77" applyNumberFormat="1" applyFont="1" applyFill="1" applyBorder="1" applyAlignment="1" applyProtection="1">
      <alignment horizontal="right" vertical="center"/>
    </xf>
    <xf numFmtId="165" fontId="35" fillId="4" borderId="30" xfId="77" applyNumberFormat="1" applyFont="1" applyFill="1" applyBorder="1" applyAlignment="1" applyProtection="1">
      <alignment horizontal="center" vertical="center"/>
    </xf>
    <xf numFmtId="165" fontId="35" fillId="4" borderId="31" xfId="77" applyNumberFormat="1" applyFont="1" applyFill="1" applyBorder="1" applyAlignment="1" applyProtection="1">
      <alignment horizontal="center" vertical="center"/>
    </xf>
    <xf numFmtId="0" fontId="35" fillId="2" borderId="33" xfId="0" applyNumberFormat="1" applyFont="1" applyFill="1" applyBorder="1" applyAlignment="1" applyProtection="1">
      <alignment horizontal="left" vertical="center" wrapText="1"/>
    </xf>
    <xf numFmtId="0" fontId="85" fillId="4" borderId="1" xfId="10" applyNumberFormat="1" applyFont="1" applyFill="1" applyBorder="1" applyAlignment="1" applyProtection="1">
      <alignment wrapText="1"/>
      <protection locked="0"/>
    </xf>
    <xf numFmtId="3" fontId="46" fillId="2" borderId="26" xfId="0" applyNumberFormat="1" applyFont="1" applyFill="1" applyBorder="1" applyAlignment="1" applyProtection="1">
      <alignment horizontal="right" vertical="center"/>
    </xf>
    <xf numFmtId="165" fontId="85" fillId="4" borderId="1" xfId="77" applyNumberFormat="1" applyFont="1"/>
    <xf numFmtId="43" fontId="36" fillId="4" borderId="1" xfId="77" applyNumberFormat="1" applyFont="1"/>
    <xf numFmtId="0" fontId="46" fillId="7" borderId="32" xfId="0" applyNumberFormat="1" applyFont="1" applyFill="1" applyBorder="1" applyAlignment="1" applyProtection="1">
      <alignment horizontal="center" vertical="center"/>
    </xf>
    <xf numFmtId="0" fontId="35" fillId="7" borderId="33" xfId="0" applyNumberFormat="1" applyFont="1" applyFill="1" applyBorder="1" applyAlignment="1" applyProtection="1">
      <alignment horizontal="left" vertical="center" wrapText="1"/>
    </xf>
    <xf numFmtId="0" fontId="33" fillId="2" borderId="33" xfId="0" applyNumberFormat="1" applyFont="1" applyFill="1" applyBorder="1" applyAlignment="1" applyProtection="1">
      <alignment horizontal="left" vertical="center"/>
    </xf>
    <xf numFmtId="4" fontId="33" fillId="5" borderId="33" xfId="0" applyNumberFormat="1" applyFont="1" applyFill="1" applyBorder="1" applyAlignment="1" applyProtection="1">
      <alignment horizontal="right" vertical="center"/>
    </xf>
    <xf numFmtId="0" fontId="96" fillId="5" borderId="0" xfId="0" applyFont="1" applyFill="1"/>
    <xf numFmtId="165" fontId="96" fillId="5" borderId="0" xfId="0" applyNumberFormat="1" applyFont="1" applyFill="1"/>
    <xf numFmtId="0" fontId="68" fillId="4" borderId="1" xfId="113" applyFont="1"/>
    <xf numFmtId="9" fontId="68" fillId="0" borderId="0" xfId="91" applyFont="1"/>
    <xf numFmtId="0" fontId="101" fillId="3" borderId="41" xfId="0" applyNumberFormat="1" applyFont="1" applyFill="1" applyBorder="1" applyAlignment="1" applyProtection="1">
      <alignment horizontal="left" vertical="center"/>
    </xf>
    <xf numFmtId="165" fontId="33" fillId="2" borderId="26" xfId="78" applyNumberFormat="1" applyFont="1" applyFill="1" applyBorder="1" applyAlignment="1" applyProtection="1">
      <alignment horizontal="right" vertical="center"/>
    </xf>
    <xf numFmtId="3" fontId="34" fillId="2" borderId="1" xfId="0" applyNumberFormat="1" applyFont="1" applyFill="1" applyBorder="1" applyAlignment="1" applyProtection="1">
      <alignment horizontal="right" vertical="center"/>
    </xf>
    <xf numFmtId="166" fontId="34" fillId="2" borderId="33" xfId="0" applyNumberFormat="1" applyFont="1" applyFill="1" applyBorder="1" applyAlignment="1" applyProtection="1">
      <alignment horizontal="right" vertical="center"/>
    </xf>
    <xf numFmtId="4" fontId="33" fillId="4" borderId="33" xfId="0" applyNumberFormat="1" applyFont="1" applyFill="1" applyBorder="1" applyAlignment="1" applyProtection="1">
      <alignment horizontal="right" vertical="center"/>
    </xf>
    <xf numFmtId="3" fontId="36" fillId="0" borderId="0" xfId="0" applyNumberFormat="1" applyFont="1"/>
    <xf numFmtId="165" fontId="0" fillId="4" borderId="1" xfId="78" applyNumberFormat="1" applyFont="1" applyFill="1" applyBorder="1" applyAlignment="1" applyProtection="1">
      <alignment wrapText="1"/>
      <protection locked="0"/>
    </xf>
    <xf numFmtId="165" fontId="57" fillId="3" borderId="51" xfId="78" applyNumberFormat="1" applyFont="1" applyFill="1" applyBorder="1" applyAlignment="1" applyProtection="1">
      <alignment horizontal="center" vertical="center" wrapText="1"/>
    </xf>
    <xf numFmtId="165" fontId="57" fillId="3" borderId="11" xfId="78" applyNumberFormat="1" applyFont="1" applyFill="1" applyBorder="1" applyAlignment="1" applyProtection="1">
      <alignment horizontal="center" vertical="center" wrapText="1"/>
    </xf>
    <xf numFmtId="165" fontId="57" fillId="3" borderId="50" xfId="78" applyNumberFormat="1" applyFont="1" applyFill="1" applyBorder="1" applyAlignment="1" applyProtection="1">
      <alignment horizontal="center" vertical="center" wrapText="1"/>
    </xf>
    <xf numFmtId="165" fontId="57" fillId="3" borderId="108" xfId="78" applyNumberFormat="1" applyFont="1" applyFill="1" applyBorder="1" applyAlignment="1" applyProtection="1">
      <alignment horizontal="center" vertical="center" wrapText="1"/>
    </xf>
    <xf numFmtId="165" fontId="57" fillId="3" borderId="14" xfId="78" applyNumberFormat="1" applyFont="1" applyFill="1" applyBorder="1" applyAlignment="1" applyProtection="1">
      <alignment horizontal="center" vertical="center"/>
    </xf>
    <xf numFmtId="165" fontId="57" fillId="3" borderId="91" xfId="78" applyNumberFormat="1" applyFont="1" applyFill="1" applyBorder="1" applyAlignment="1" applyProtection="1">
      <alignment horizontal="center" vertical="center"/>
    </xf>
    <xf numFmtId="165" fontId="58" fillId="4" borderId="19" xfId="78" applyNumberFormat="1" applyFont="1" applyFill="1" applyBorder="1" applyAlignment="1" applyProtection="1">
      <alignment horizontal="center" vertical="center"/>
    </xf>
    <xf numFmtId="165" fontId="58" fillId="4" borderId="17" xfId="78" applyNumberFormat="1" applyFont="1" applyFill="1" applyBorder="1" applyAlignment="1" applyProtection="1">
      <alignment horizontal="center" vertical="center"/>
    </xf>
    <xf numFmtId="165" fontId="58" fillId="4" borderId="18" xfId="78" applyNumberFormat="1" applyFont="1" applyFill="1" applyBorder="1" applyAlignment="1" applyProtection="1">
      <alignment horizontal="center" vertical="center"/>
    </xf>
    <xf numFmtId="165" fontId="58" fillId="4" borderId="109" xfId="78" applyNumberFormat="1" applyFont="1" applyFill="1" applyBorder="1" applyAlignment="1" applyProtection="1">
      <alignment horizontal="center" vertical="center"/>
    </xf>
    <xf numFmtId="165" fontId="59" fillId="5" borderId="33" xfId="78" applyNumberFormat="1" applyFont="1" applyFill="1" applyBorder="1" applyAlignment="1" applyProtection="1">
      <alignment horizontal="right" vertical="center"/>
    </xf>
    <xf numFmtId="165" fontId="59" fillId="5" borderId="66" xfId="78" applyNumberFormat="1" applyFont="1" applyFill="1" applyBorder="1" applyAlignment="1" applyProtection="1">
      <alignment horizontal="right" vertical="center"/>
    </xf>
    <xf numFmtId="165" fontId="59" fillId="5" borderId="110" xfId="78" applyNumberFormat="1" applyFont="1" applyFill="1" applyBorder="1" applyAlignment="1" applyProtection="1">
      <alignment horizontal="right" vertical="center" wrapText="1"/>
    </xf>
    <xf numFmtId="165" fontId="58" fillId="5" borderId="62" xfId="78" applyNumberFormat="1" applyFont="1" applyFill="1" applyBorder="1" applyAlignment="1" applyProtection="1">
      <alignment horizontal="center" vertical="center"/>
    </xf>
    <xf numFmtId="165" fontId="58" fillId="5" borderId="60" xfId="78" applyNumberFormat="1" applyFont="1" applyFill="1" applyBorder="1" applyAlignment="1" applyProtection="1">
      <alignment horizontal="center" vertical="center"/>
    </xf>
    <xf numFmtId="165" fontId="58" fillId="5" borderId="78" xfId="78" applyNumberFormat="1" applyFont="1" applyFill="1" applyBorder="1" applyAlignment="1" applyProtection="1">
      <alignment horizontal="center" vertical="center"/>
    </xf>
    <xf numFmtId="165" fontId="58" fillId="5" borderId="61" xfId="78" applyNumberFormat="1" applyFont="1" applyFill="1" applyBorder="1" applyAlignment="1" applyProtection="1">
      <alignment horizontal="center" vertical="center"/>
    </xf>
    <xf numFmtId="165" fontId="58" fillId="5" borderId="101" xfId="78" applyNumberFormat="1" applyFont="1" applyFill="1" applyBorder="1" applyAlignment="1" applyProtection="1">
      <alignment horizontal="center" vertical="center"/>
    </xf>
    <xf numFmtId="165" fontId="58" fillId="5" borderId="102" xfId="78" applyNumberFormat="1" applyFont="1" applyFill="1" applyBorder="1" applyAlignment="1" applyProtection="1">
      <alignment horizontal="center" vertical="center"/>
    </xf>
    <xf numFmtId="0" fontId="36" fillId="4" borderId="1" xfId="534" applyNumberFormat="1" applyFont="1" applyFill="1" applyBorder="1" applyAlignment="1" applyProtection="1">
      <alignment wrapText="1"/>
      <protection locked="0"/>
    </xf>
    <xf numFmtId="0" fontId="81" fillId="3" borderId="50" xfId="534" applyNumberFormat="1" applyFont="1" applyFill="1" applyBorder="1" applyAlignment="1" applyProtection="1">
      <alignment horizontal="center" vertical="center" wrapText="1"/>
    </xf>
    <xf numFmtId="0" fontId="81" fillId="3" borderId="14" xfId="534" applyNumberFormat="1" applyFont="1" applyFill="1" applyBorder="1" applyAlignment="1" applyProtection="1">
      <alignment horizontal="center" vertical="center"/>
    </xf>
    <xf numFmtId="0" fontId="81" fillId="4" borderId="18" xfId="534" applyNumberFormat="1" applyFont="1" applyFill="1" applyBorder="1" applyAlignment="1" applyProtection="1">
      <alignment horizontal="center" vertical="center"/>
    </xf>
    <xf numFmtId="3" fontId="69" fillId="5" borderId="33" xfId="534" applyNumberFormat="1" applyFont="1" applyFill="1" applyBorder="1" applyAlignment="1" applyProtection="1">
      <alignment horizontal="right" vertical="center"/>
    </xf>
    <xf numFmtId="3" fontId="81" fillId="5" borderId="33" xfId="534" applyNumberFormat="1" applyFont="1" applyFill="1" applyBorder="1" applyAlignment="1" applyProtection="1">
      <alignment horizontal="right" vertical="center"/>
    </xf>
    <xf numFmtId="0" fontId="81" fillId="5" borderId="114" xfId="534" applyNumberFormat="1" applyFont="1" applyFill="1" applyBorder="1" applyAlignment="1" applyProtection="1">
      <alignment horizontal="center" vertical="center"/>
    </xf>
    <xf numFmtId="0" fontId="81" fillId="5" borderId="60" xfId="534" applyNumberFormat="1" applyFont="1" applyFill="1" applyBorder="1" applyAlignment="1" applyProtection="1">
      <alignment horizontal="center" vertical="center"/>
    </xf>
    <xf numFmtId="165" fontId="81" fillId="5" borderId="101" xfId="535" applyNumberFormat="1" applyFont="1" applyFill="1" applyBorder="1" applyAlignment="1" applyProtection="1">
      <alignment horizontal="center" vertical="center"/>
    </xf>
    <xf numFmtId="0" fontId="26" fillId="4" borderId="1" xfId="7" applyNumberFormat="1" applyFont="1" applyFill="1" applyBorder="1" applyAlignment="1" applyProtection="1">
      <alignment wrapText="1"/>
      <protection locked="0"/>
    </xf>
    <xf numFmtId="0" fontId="42" fillId="4" borderId="1" xfId="7" applyNumberFormat="1" applyFont="1" applyFill="1" applyBorder="1" applyAlignment="1" applyProtection="1">
      <alignment horizontal="left" vertical="top"/>
    </xf>
    <xf numFmtId="0" fontId="66" fillId="4" borderId="40" xfId="0" applyNumberFormat="1" applyFont="1" applyFill="1" applyBorder="1" applyAlignment="1" applyProtection="1">
      <alignment horizontal="center" vertical="center" wrapText="1"/>
    </xf>
    <xf numFmtId="0" fontId="67" fillId="4" borderId="1" xfId="0" applyNumberFormat="1" applyFont="1" applyFill="1" applyBorder="1" applyAlignment="1" applyProtection="1">
      <alignment horizontal="center" vertical="center" wrapText="1"/>
    </xf>
    <xf numFmtId="3" fontId="43" fillId="4" borderId="6" xfId="0" applyNumberFormat="1" applyFont="1" applyFill="1" applyBorder="1" applyAlignment="1" applyProtection="1">
      <alignment horizontal="right" vertical="center"/>
    </xf>
    <xf numFmtId="3" fontId="43" fillId="4" borderId="33" xfId="0" applyNumberFormat="1" applyFont="1" applyFill="1" applyBorder="1" applyAlignment="1" applyProtection="1">
      <alignment horizontal="right" vertical="center"/>
    </xf>
    <xf numFmtId="0" fontId="22" fillId="7" borderId="32" xfId="0" applyNumberFormat="1" applyFont="1" applyFill="1" applyBorder="1" applyAlignment="1" applyProtection="1">
      <alignment horizontal="center" vertical="center"/>
    </xf>
    <xf numFmtId="0" fontId="22" fillId="7" borderId="33" xfId="0" applyNumberFormat="1" applyFont="1" applyFill="1" applyBorder="1" applyAlignment="1" applyProtection="1">
      <alignment horizontal="center" vertical="center"/>
    </xf>
    <xf numFmtId="0" fontId="22" fillId="7" borderId="33" xfId="0" applyNumberFormat="1" applyFont="1" applyFill="1" applyBorder="1" applyAlignment="1" applyProtection="1">
      <alignment horizontal="left" vertical="center" wrapText="1"/>
    </xf>
    <xf numFmtId="0" fontId="43" fillId="7" borderId="33" xfId="0" applyNumberFormat="1" applyFont="1" applyFill="1" applyBorder="1" applyAlignment="1" applyProtection="1">
      <alignment horizontal="left" vertical="center"/>
    </xf>
    <xf numFmtId="3" fontId="43" fillId="7" borderId="33" xfId="0" applyNumberFormat="1" applyFont="1" applyFill="1" applyBorder="1" applyAlignment="1" applyProtection="1">
      <alignment horizontal="right" vertical="center"/>
    </xf>
    <xf numFmtId="3" fontId="35" fillId="2" borderId="25" xfId="0" applyNumberFormat="1" applyFont="1" applyFill="1" applyBorder="1" applyAlignment="1" applyProtection="1">
      <alignment horizontal="right" vertical="center"/>
    </xf>
    <xf numFmtId="0" fontId="146" fillId="13" borderId="123" xfId="0" applyFont="1" applyFill="1" applyBorder="1" applyAlignment="1">
      <alignment vertical="center"/>
    </xf>
    <xf numFmtId="0" fontId="146" fillId="13" borderId="129" xfId="0" applyFont="1" applyFill="1" applyBorder="1" applyAlignment="1">
      <alignment horizontal="center" vertical="center"/>
    </xf>
    <xf numFmtId="0" fontId="146" fillId="13" borderId="118" xfId="0" applyFont="1" applyFill="1" applyBorder="1" applyAlignment="1">
      <alignment horizontal="center" vertical="center"/>
    </xf>
    <xf numFmtId="0" fontId="146" fillId="13" borderId="0" xfId="0" applyFont="1" applyFill="1" applyAlignment="1">
      <alignment horizontal="center" vertical="center"/>
    </xf>
    <xf numFmtId="0" fontId="146" fillId="13" borderId="175" xfId="0" applyFont="1" applyFill="1" applyBorder="1" applyAlignment="1">
      <alignment horizontal="center" vertical="center"/>
    </xf>
    <xf numFmtId="0" fontId="77" fillId="0" borderId="123" xfId="0" applyFont="1" applyBorder="1" applyAlignment="1">
      <alignment horizontal="center" vertical="center"/>
    </xf>
    <xf numFmtId="0" fontId="77" fillId="0" borderId="124" xfId="0" applyFont="1" applyBorder="1" applyAlignment="1">
      <alignment horizontal="center" vertical="center"/>
    </xf>
    <xf numFmtId="3" fontId="77" fillId="0" borderId="124" xfId="0" applyNumberFormat="1" applyFont="1" applyBorder="1" applyAlignment="1">
      <alignment horizontal="center" vertical="center"/>
    </xf>
    <xf numFmtId="0" fontId="77" fillId="0" borderId="126" xfId="0" applyFont="1" applyBorder="1" applyAlignment="1">
      <alignment horizontal="center" vertical="center"/>
    </xf>
    <xf numFmtId="0" fontId="26" fillId="0" borderId="126" xfId="0" applyFont="1" applyBorder="1" applyAlignment="1">
      <alignment vertical="center"/>
    </xf>
    <xf numFmtId="3" fontId="77" fillId="0" borderId="126" xfId="0" applyNumberFormat="1" applyFont="1" applyBorder="1" applyAlignment="1">
      <alignment horizontal="center" vertical="center"/>
    </xf>
    <xf numFmtId="3" fontId="146" fillId="13" borderId="126" xfId="0" applyNumberFormat="1" applyFont="1" applyFill="1" applyBorder="1" applyAlignment="1">
      <alignment horizontal="center" vertical="center"/>
    </xf>
    <xf numFmtId="0" fontId="77" fillId="0" borderId="60" xfId="0" applyFont="1" applyBorder="1" applyAlignment="1">
      <alignment horizontal="center" vertical="center"/>
    </xf>
    <xf numFmtId="3" fontId="35" fillId="5" borderId="33" xfId="0" applyNumberFormat="1" applyFont="1" applyFill="1" applyBorder="1" applyAlignment="1" applyProtection="1">
      <alignment horizontal="right" vertical="center"/>
    </xf>
    <xf numFmtId="0" fontId="102" fillId="4" borderId="1" xfId="0" applyNumberFormat="1" applyFont="1" applyFill="1" applyBorder="1" applyAlignment="1" applyProtection="1">
      <alignment wrapText="1"/>
      <protection locked="0"/>
    </xf>
    <xf numFmtId="0" fontId="102" fillId="0" borderId="0" xfId="0" applyFont="1"/>
    <xf numFmtId="0" fontId="147" fillId="4" borderId="1" xfId="0" applyNumberFormat="1" applyFont="1" applyFill="1" applyBorder="1" applyAlignment="1" applyProtection="1">
      <alignment horizontal="left" vertical="top"/>
    </xf>
    <xf numFmtId="0" fontId="68" fillId="4" borderId="1" xfId="0" applyNumberFormat="1" applyFont="1" applyFill="1" applyBorder="1" applyAlignment="1" applyProtection="1">
      <alignment horizontal="left" vertical="top"/>
    </xf>
    <xf numFmtId="0" fontId="151" fillId="3" borderId="7" xfId="0" applyNumberFormat="1" applyFont="1" applyFill="1" applyBorder="1" applyAlignment="1" applyProtection="1">
      <alignment horizontal="center" vertical="center" wrapText="1"/>
    </xf>
    <xf numFmtId="0" fontId="151" fillId="3" borderId="9" xfId="0" applyNumberFormat="1" applyFont="1" applyFill="1" applyBorder="1" applyAlignment="1" applyProtection="1">
      <alignment horizontal="center" vertical="center" wrapText="1"/>
    </xf>
    <xf numFmtId="0" fontId="151" fillId="3" borderId="10" xfId="0" applyNumberFormat="1" applyFont="1" applyFill="1" applyBorder="1" applyAlignment="1" applyProtection="1">
      <alignment horizontal="center" vertical="center" wrapText="1"/>
    </xf>
    <xf numFmtId="0" fontId="151" fillId="3" borderId="11" xfId="0" applyNumberFormat="1" applyFont="1" applyFill="1" applyBorder="1" applyAlignment="1" applyProtection="1">
      <alignment horizontal="center" vertical="center" wrapText="1"/>
    </xf>
    <xf numFmtId="0" fontId="151" fillId="3" borderId="12" xfId="0" applyNumberFormat="1" applyFont="1" applyFill="1" applyBorder="1" applyAlignment="1" applyProtection="1">
      <alignment horizontal="center" vertical="center" wrapText="1"/>
    </xf>
    <xf numFmtId="0" fontId="151" fillId="3" borderId="13" xfId="0" applyNumberFormat="1" applyFont="1" applyFill="1" applyBorder="1" applyAlignment="1" applyProtection="1">
      <alignment horizontal="center" vertical="center" wrapText="1"/>
    </xf>
    <xf numFmtId="0" fontId="151" fillId="3" borderId="14" xfId="0" applyNumberFormat="1" applyFont="1" applyFill="1" applyBorder="1" applyAlignment="1" applyProtection="1">
      <alignment horizontal="center" vertical="center"/>
    </xf>
    <xf numFmtId="0" fontId="151" fillId="3" borderId="15" xfId="0" applyNumberFormat="1" applyFont="1" applyFill="1" applyBorder="1" applyAlignment="1" applyProtection="1">
      <alignment horizontal="center" vertical="center"/>
    </xf>
    <xf numFmtId="0" fontId="102" fillId="4" borderId="17" xfId="0" applyNumberFormat="1" applyFont="1" applyFill="1" applyBorder="1" applyAlignment="1" applyProtection="1">
      <alignment horizontal="center" vertical="center"/>
    </xf>
    <xf numFmtId="0" fontId="102" fillId="4" borderId="18" xfId="0" applyNumberFormat="1" applyFont="1" applyFill="1" applyBorder="1" applyAlignment="1" applyProtection="1">
      <alignment horizontal="center" vertical="center"/>
    </xf>
    <xf numFmtId="0" fontId="102" fillId="4" borderId="19" xfId="0" applyNumberFormat="1" applyFont="1" applyFill="1" applyBorder="1" applyAlignment="1" applyProtection="1">
      <alignment horizontal="center" vertical="center"/>
    </xf>
    <xf numFmtId="0" fontId="102" fillId="4" borderId="20" xfId="0" applyNumberFormat="1" applyFont="1" applyFill="1" applyBorder="1" applyAlignment="1" applyProtection="1">
      <alignment horizontal="center" vertical="center"/>
    </xf>
    <xf numFmtId="0" fontId="68" fillId="4" borderId="22" xfId="0" applyNumberFormat="1" applyFont="1" applyFill="1" applyBorder="1" applyAlignment="1" applyProtection="1">
      <alignment horizontal="center" vertical="center"/>
    </xf>
    <xf numFmtId="0" fontId="102" fillId="4" borderId="23" xfId="0" applyNumberFormat="1" applyFont="1" applyFill="1" applyBorder="1" applyAlignment="1" applyProtection="1">
      <alignment horizontal="center" vertical="center"/>
    </xf>
    <xf numFmtId="0" fontId="68" fillId="4" borderId="33" xfId="74" applyNumberFormat="1" applyFont="1" applyFill="1" applyBorder="1" applyAlignment="1" applyProtection="1">
      <alignment horizontal="left" vertical="center"/>
    </xf>
    <xf numFmtId="4" fontId="68" fillId="2" borderId="25" xfId="0" applyNumberFormat="1" applyFont="1" applyFill="1" applyBorder="1" applyAlignment="1" applyProtection="1">
      <alignment horizontal="right" vertical="center"/>
    </xf>
    <xf numFmtId="3" fontId="68" fillId="2" borderId="25" xfId="0" applyNumberFormat="1" applyFont="1" applyFill="1" applyBorder="1" applyAlignment="1" applyProtection="1">
      <alignment horizontal="right" vertical="center"/>
    </xf>
    <xf numFmtId="3" fontId="68" fillId="2" borderId="26" xfId="0" applyNumberFormat="1" applyFont="1" applyFill="1" applyBorder="1" applyAlignment="1" applyProtection="1">
      <alignment horizontal="right" vertical="center"/>
    </xf>
    <xf numFmtId="0" fontId="102" fillId="2" borderId="25" xfId="0" applyNumberFormat="1" applyFont="1" applyFill="1" applyBorder="1" applyAlignment="1" applyProtection="1">
      <alignment horizontal="left" vertical="center" wrapText="1"/>
    </xf>
    <xf numFmtId="3" fontId="102" fillId="2" borderId="25" xfId="0" applyNumberFormat="1" applyFont="1" applyFill="1" applyBorder="1" applyAlignment="1" applyProtection="1">
      <alignment horizontal="right" vertical="center"/>
    </xf>
    <xf numFmtId="3" fontId="102" fillId="2" borderId="26" xfId="0" applyNumberFormat="1" applyFont="1" applyFill="1" applyBorder="1" applyAlignment="1" applyProtection="1">
      <alignment horizontal="right" vertical="center"/>
    </xf>
    <xf numFmtId="0" fontId="102" fillId="4" borderId="28" xfId="0" applyNumberFormat="1" applyFont="1" applyFill="1" applyBorder="1" applyAlignment="1" applyProtection="1">
      <alignment horizontal="center" vertical="center"/>
    </xf>
    <xf numFmtId="0" fontId="102" fillId="4" borderId="29" xfId="0" applyNumberFormat="1" applyFont="1" applyFill="1" applyBorder="1" applyAlignment="1" applyProtection="1">
      <alignment horizontal="center" vertical="center"/>
    </xf>
    <xf numFmtId="3" fontId="102" fillId="4" borderId="28" xfId="0" applyNumberFormat="1" applyFont="1" applyFill="1" applyBorder="1" applyAlignment="1" applyProtection="1">
      <alignment horizontal="center" vertical="center"/>
    </xf>
    <xf numFmtId="3" fontId="102" fillId="4" borderId="30" xfId="0" applyNumberFormat="1" applyFont="1" applyFill="1" applyBorder="1" applyAlignment="1" applyProtection="1">
      <alignment horizontal="center" vertical="center"/>
    </xf>
    <xf numFmtId="0" fontId="102" fillId="4" borderId="31" xfId="0" applyNumberFormat="1" applyFont="1" applyFill="1" applyBorder="1" applyAlignment="1" applyProtection="1">
      <alignment horizontal="center" vertical="center"/>
    </xf>
    <xf numFmtId="3" fontId="102" fillId="4" borderId="17" xfId="0" applyNumberFormat="1" applyFont="1" applyFill="1" applyBorder="1" applyAlignment="1" applyProtection="1">
      <alignment horizontal="center" vertical="center"/>
    </xf>
    <xf numFmtId="3" fontId="102" fillId="4" borderId="23" xfId="0" applyNumberFormat="1" applyFont="1" applyFill="1" applyBorder="1" applyAlignment="1" applyProtection="1">
      <alignment horizontal="center" vertical="center"/>
    </xf>
    <xf numFmtId="0" fontId="68" fillId="2" borderId="33" xfId="0" applyNumberFormat="1" applyFont="1" applyFill="1" applyBorder="1" applyAlignment="1" applyProtection="1">
      <alignment horizontal="left" vertical="center" wrapText="1"/>
    </xf>
    <xf numFmtId="4" fontId="68" fillId="2" borderId="33" xfId="0" applyNumberFormat="1" applyFont="1" applyFill="1" applyBorder="1" applyAlignment="1" applyProtection="1">
      <alignment horizontal="right" vertical="center"/>
    </xf>
    <xf numFmtId="3" fontId="68" fillId="2" borderId="33" xfId="0" applyNumberFormat="1" applyFont="1" applyFill="1" applyBorder="1" applyAlignment="1" applyProtection="1">
      <alignment horizontal="right" vertical="center"/>
    </xf>
    <xf numFmtId="0" fontId="102" fillId="2" borderId="33" xfId="0" applyNumberFormat="1" applyFont="1" applyFill="1" applyBorder="1" applyAlignment="1" applyProtection="1">
      <alignment horizontal="left" vertical="center" wrapText="1"/>
    </xf>
    <xf numFmtId="4" fontId="102" fillId="2" borderId="33" xfId="0" applyNumberFormat="1" applyFont="1" applyFill="1" applyBorder="1" applyAlignment="1" applyProtection="1">
      <alignment horizontal="right" vertical="center"/>
    </xf>
    <xf numFmtId="3" fontId="102" fillId="2" borderId="33" xfId="0" applyNumberFormat="1" applyFont="1" applyFill="1" applyBorder="1" applyAlignment="1" applyProtection="1">
      <alignment horizontal="right" vertical="center"/>
    </xf>
    <xf numFmtId="4" fontId="102" fillId="5" borderId="33" xfId="0" applyNumberFormat="1" applyFont="1" applyFill="1" applyBorder="1" applyAlignment="1" applyProtection="1">
      <alignment horizontal="right" vertical="center"/>
    </xf>
    <xf numFmtId="3" fontId="102" fillId="5" borderId="33" xfId="0" applyNumberFormat="1" applyFont="1" applyFill="1" applyBorder="1" applyAlignment="1" applyProtection="1">
      <alignment horizontal="right" vertical="center"/>
    </xf>
    <xf numFmtId="0" fontId="102" fillId="2" borderId="174" xfId="0" applyNumberFormat="1" applyFont="1" applyFill="1" applyBorder="1" applyAlignment="1" applyProtection="1">
      <alignment horizontal="center" vertical="center"/>
    </xf>
    <xf numFmtId="0" fontId="102" fillId="3" borderId="35" xfId="0" applyNumberFormat="1" applyFont="1" applyFill="1" applyBorder="1" applyAlignment="1" applyProtection="1">
      <alignment horizontal="center" vertical="center"/>
    </xf>
    <xf numFmtId="0" fontId="102" fillId="3" borderId="35" xfId="0" applyNumberFormat="1" applyFont="1" applyFill="1" applyBorder="1" applyAlignment="1" applyProtection="1">
      <alignment horizontal="right" vertical="center"/>
    </xf>
    <xf numFmtId="0" fontId="68" fillId="3" borderId="35" xfId="0" applyNumberFormat="1" applyFont="1" applyFill="1" applyBorder="1" applyAlignment="1" applyProtection="1">
      <alignment horizontal="right" vertical="center"/>
    </xf>
    <xf numFmtId="0" fontId="68" fillId="3" borderId="36" xfId="0" applyNumberFormat="1" applyFont="1" applyFill="1" applyBorder="1" applyAlignment="1" applyProtection="1">
      <alignment horizontal="right" vertical="center"/>
    </xf>
    <xf numFmtId="3" fontId="102" fillId="5" borderId="26" xfId="0" applyNumberFormat="1" applyFont="1" applyFill="1" applyBorder="1" applyAlignment="1" applyProtection="1">
      <alignment horizontal="right" vertical="center"/>
    </xf>
    <xf numFmtId="0" fontId="96" fillId="4" borderId="1" xfId="0" applyNumberFormat="1" applyFont="1" applyFill="1" applyBorder="1" applyAlignment="1" applyProtection="1">
      <alignment horizontal="left" vertical="top"/>
    </xf>
    <xf numFmtId="165" fontId="96" fillId="4" borderId="1" xfId="78" applyNumberFormat="1" applyFont="1" applyFill="1" applyBorder="1" applyAlignment="1" applyProtection="1">
      <alignment wrapText="1"/>
      <protection locked="0"/>
    </xf>
    <xf numFmtId="0" fontId="152" fillId="3" borderId="88" xfId="0" applyNumberFormat="1" applyFont="1" applyFill="1" applyBorder="1" applyAlignment="1" applyProtection="1">
      <alignment horizontal="left" vertical="center"/>
    </xf>
    <xf numFmtId="0" fontId="152" fillId="3" borderId="44" xfId="0" applyNumberFormat="1" applyFont="1" applyFill="1" applyBorder="1" applyAlignment="1" applyProtection="1">
      <alignment horizontal="right" vertical="center"/>
    </xf>
    <xf numFmtId="164" fontId="152" fillId="3" borderId="45" xfId="0" applyNumberFormat="1" applyFont="1" applyFill="1" applyBorder="1" applyAlignment="1" applyProtection="1">
      <alignment horizontal="left" vertical="center"/>
    </xf>
    <xf numFmtId="0" fontId="152" fillId="3" borderId="7" xfId="0" applyNumberFormat="1" applyFont="1" applyFill="1" applyBorder="1" applyAlignment="1" applyProtection="1">
      <alignment horizontal="center" vertical="center"/>
    </xf>
    <xf numFmtId="0" fontId="152" fillId="3" borderId="9" xfId="0" applyNumberFormat="1" applyFont="1" applyFill="1" applyBorder="1" applyAlignment="1" applyProtection="1">
      <alignment horizontal="center" vertical="center" wrapText="1"/>
    </xf>
    <xf numFmtId="0" fontId="152" fillId="3" borderId="10" xfId="0" applyNumberFormat="1" applyFont="1" applyFill="1" applyBorder="1" applyAlignment="1" applyProtection="1">
      <alignment horizontal="center" vertical="center" wrapText="1"/>
    </xf>
    <xf numFmtId="0" fontId="152" fillId="3" borderId="11" xfId="0" applyNumberFormat="1" applyFont="1" applyFill="1" applyBorder="1" applyAlignment="1" applyProtection="1">
      <alignment horizontal="center" vertical="center" wrapText="1"/>
    </xf>
    <xf numFmtId="0" fontId="152" fillId="3" borderId="12" xfId="0" applyNumberFormat="1" applyFont="1" applyFill="1" applyBorder="1" applyAlignment="1" applyProtection="1">
      <alignment horizontal="center" vertical="center" wrapText="1"/>
    </xf>
    <xf numFmtId="0" fontId="152" fillId="3" borderId="13" xfId="0" applyNumberFormat="1" applyFont="1" applyFill="1" applyBorder="1" applyAlignment="1" applyProtection="1">
      <alignment horizontal="center" vertical="center" wrapText="1"/>
    </xf>
    <xf numFmtId="165" fontId="152" fillId="3" borderId="11" xfId="78" applyNumberFormat="1" applyFont="1" applyFill="1" applyBorder="1" applyAlignment="1" applyProtection="1">
      <alignment horizontal="center" vertical="center" wrapText="1"/>
    </xf>
    <xf numFmtId="0" fontId="152" fillId="3" borderId="14" xfId="0" applyNumberFormat="1" applyFont="1" applyFill="1" applyBorder="1" applyAlignment="1" applyProtection="1">
      <alignment horizontal="center" vertical="center"/>
    </xf>
    <xf numFmtId="165" fontId="152" fillId="3" borderId="14" xfId="78" applyNumberFormat="1" applyFont="1" applyFill="1" applyBorder="1" applyAlignment="1" applyProtection="1">
      <alignment horizontal="center" vertical="center"/>
    </xf>
    <xf numFmtId="0" fontId="152" fillId="3" borderId="91" xfId="0" applyNumberFormat="1" applyFont="1" applyFill="1" applyBorder="1" applyAlignment="1" applyProtection="1">
      <alignment horizontal="center" vertical="center"/>
    </xf>
    <xf numFmtId="0" fontId="152" fillId="4" borderId="17" xfId="0" applyNumberFormat="1" applyFont="1" applyFill="1" applyBorder="1" applyAlignment="1" applyProtection="1">
      <alignment horizontal="center" vertical="center"/>
    </xf>
    <xf numFmtId="0" fontId="152" fillId="4" borderId="18" xfId="0" applyNumberFormat="1" applyFont="1" applyFill="1" applyBorder="1" applyAlignment="1" applyProtection="1">
      <alignment horizontal="center" vertical="center"/>
    </xf>
    <xf numFmtId="0" fontId="152" fillId="4" borderId="19" xfId="0" applyNumberFormat="1" applyFont="1" applyFill="1" applyBorder="1" applyAlignment="1" applyProtection="1">
      <alignment horizontal="center" vertical="center"/>
    </xf>
    <xf numFmtId="165" fontId="152" fillId="4" borderId="17" xfId="78" applyNumberFormat="1" applyFont="1" applyFill="1" applyBorder="1" applyAlignment="1" applyProtection="1">
      <alignment horizontal="center" vertical="center"/>
    </xf>
    <xf numFmtId="0" fontId="152" fillId="4" borderId="93" xfId="0" applyNumberFormat="1" applyFont="1" applyFill="1" applyBorder="1" applyAlignment="1" applyProtection="1">
      <alignment horizontal="center" vertical="center"/>
    </xf>
    <xf numFmtId="0" fontId="96" fillId="4" borderId="94" xfId="0" applyNumberFormat="1" applyFont="1" applyFill="1" applyBorder="1" applyAlignment="1" applyProtection="1">
      <alignment horizontal="center" vertical="center" wrapText="1"/>
    </xf>
    <xf numFmtId="0" fontId="96" fillId="4" borderId="22" xfId="0" applyNumberFormat="1" applyFont="1" applyFill="1" applyBorder="1" applyAlignment="1" applyProtection="1">
      <alignment horizontal="center" vertical="center"/>
    </xf>
    <xf numFmtId="0" fontId="152" fillId="4" borderId="23" xfId="0" applyNumberFormat="1" applyFont="1" applyFill="1" applyBorder="1" applyAlignment="1" applyProtection="1">
      <alignment horizontal="center" vertical="center"/>
    </xf>
    <xf numFmtId="0" fontId="96" fillId="2" borderId="75" xfId="0" applyNumberFormat="1" applyFont="1" applyFill="1" applyBorder="1" applyAlignment="1" applyProtection="1">
      <alignment horizontal="center" vertical="center"/>
    </xf>
    <xf numFmtId="0" fontId="96" fillId="2" borderId="33" xfId="0" applyNumberFormat="1" applyFont="1" applyFill="1" applyBorder="1" applyAlignment="1" applyProtection="1">
      <alignment horizontal="left" vertical="center"/>
    </xf>
    <xf numFmtId="4" fontId="96" fillId="2" borderId="33" xfId="0" applyNumberFormat="1" applyFont="1" applyFill="1" applyBorder="1" applyAlignment="1" applyProtection="1">
      <alignment horizontal="right" vertical="center"/>
    </xf>
    <xf numFmtId="165" fontId="96" fillId="2" borderId="25" xfId="78" applyNumberFormat="1" applyFont="1" applyFill="1" applyBorder="1" applyAlignment="1" applyProtection="1">
      <alignment horizontal="right" vertical="center"/>
    </xf>
    <xf numFmtId="3" fontId="96" fillId="2" borderId="33" xfId="0" applyNumberFormat="1" applyFont="1" applyFill="1" applyBorder="1" applyAlignment="1" applyProtection="1">
      <alignment horizontal="right" vertical="center"/>
    </xf>
    <xf numFmtId="165" fontId="96" fillId="2" borderId="33" xfId="78" applyNumberFormat="1" applyFont="1" applyFill="1" applyBorder="1" applyAlignment="1" applyProtection="1">
      <alignment horizontal="right" vertical="center"/>
    </xf>
    <xf numFmtId="3" fontId="96" fillId="2" borderId="76" xfId="0" applyNumberFormat="1" applyFont="1" applyFill="1" applyBorder="1" applyAlignment="1" applyProtection="1">
      <alignment horizontal="right" vertical="center"/>
    </xf>
    <xf numFmtId="4" fontId="96" fillId="5" borderId="33" xfId="0" applyNumberFormat="1" applyFont="1" applyFill="1" applyBorder="1" applyAlignment="1" applyProtection="1">
      <alignment horizontal="right" vertical="center"/>
    </xf>
    <xf numFmtId="165" fontId="96" fillId="5" borderId="25" xfId="78" applyNumberFormat="1" applyFont="1" applyFill="1" applyBorder="1" applyAlignment="1" applyProtection="1">
      <alignment horizontal="right" vertical="center"/>
    </xf>
    <xf numFmtId="3" fontId="96" fillId="5" borderId="33" xfId="0" applyNumberFormat="1" applyFont="1" applyFill="1" applyBorder="1" applyAlignment="1" applyProtection="1">
      <alignment horizontal="right" vertical="center"/>
    </xf>
    <xf numFmtId="165" fontId="96" fillId="5" borderId="33" xfId="78" applyNumberFormat="1" applyFont="1" applyFill="1" applyBorder="1" applyAlignment="1" applyProtection="1">
      <alignment horizontal="right" vertical="center"/>
    </xf>
    <xf numFmtId="3" fontId="96" fillId="5" borderId="76" xfId="0" applyNumberFormat="1" applyFont="1" applyFill="1" applyBorder="1" applyAlignment="1" applyProtection="1">
      <alignment horizontal="right" vertical="center"/>
    </xf>
    <xf numFmtId="0" fontId="152" fillId="2" borderId="75" xfId="0" applyNumberFormat="1" applyFont="1" applyFill="1" applyBorder="1" applyAlignment="1" applyProtection="1">
      <alignment horizontal="center" vertical="center"/>
    </xf>
    <xf numFmtId="0" fontId="152" fillId="2" borderId="33" xfId="0" applyNumberFormat="1" applyFont="1" applyFill="1" applyBorder="1" applyAlignment="1" applyProtection="1">
      <alignment horizontal="left" vertical="center"/>
    </xf>
    <xf numFmtId="4" fontId="152" fillId="5" borderId="33" xfId="0" applyNumberFormat="1" applyFont="1" applyFill="1" applyBorder="1" applyAlignment="1" applyProtection="1">
      <alignment horizontal="right" vertical="center"/>
    </xf>
    <xf numFmtId="165" fontId="152" fillId="5" borderId="25" xfId="78" applyNumberFormat="1" applyFont="1" applyFill="1" applyBorder="1" applyAlignment="1" applyProtection="1">
      <alignment horizontal="right" vertical="center"/>
    </xf>
    <xf numFmtId="165" fontId="152" fillId="5" borderId="33" xfId="78" applyNumberFormat="1" applyFont="1" applyFill="1" applyBorder="1" applyAlignment="1" applyProtection="1">
      <alignment horizontal="right" vertical="center"/>
    </xf>
    <xf numFmtId="3" fontId="152" fillId="5" borderId="76" xfId="0" applyNumberFormat="1" applyFont="1" applyFill="1" applyBorder="1" applyAlignment="1" applyProtection="1">
      <alignment horizontal="right" vertical="center"/>
    </xf>
    <xf numFmtId="0" fontId="152" fillId="2" borderId="33" xfId="0" applyNumberFormat="1" applyFont="1" applyFill="1" applyBorder="1" applyAlignment="1" applyProtection="1">
      <alignment horizontal="left" vertical="center" wrapText="1"/>
    </xf>
    <xf numFmtId="3" fontId="152" fillId="5" borderId="33" xfId="0" applyNumberFormat="1" applyFont="1" applyFill="1" applyBorder="1" applyAlignment="1" applyProtection="1">
      <alignment horizontal="right" vertical="center"/>
    </xf>
    <xf numFmtId="4" fontId="96" fillId="5" borderId="33" xfId="93" applyNumberFormat="1" applyFont="1" applyFill="1" applyBorder="1" applyAlignment="1" applyProtection="1">
      <alignment horizontal="right" vertical="center"/>
    </xf>
    <xf numFmtId="0" fontId="152" fillId="5" borderId="28" xfId="0" applyNumberFormat="1" applyFont="1" applyFill="1" applyBorder="1" applyAlignment="1" applyProtection="1">
      <alignment horizontal="center" vertical="center"/>
    </xf>
    <xf numFmtId="0" fontId="152" fillId="5" borderId="29" xfId="0" applyNumberFormat="1" applyFont="1" applyFill="1" applyBorder="1" applyAlignment="1" applyProtection="1">
      <alignment horizontal="center" vertical="center"/>
    </xf>
    <xf numFmtId="0" fontId="152" fillId="5" borderId="30" xfId="0" applyNumberFormat="1" applyFont="1" applyFill="1" applyBorder="1" applyAlignment="1" applyProtection="1">
      <alignment horizontal="center" vertical="center"/>
    </xf>
    <xf numFmtId="165" fontId="152" fillId="5" borderId="28" xfId="78" applyNumberFormat="1" applyFont="1" applyFill="1" applyBorder="1" applyAlignment="1" applyProtection="1">
      <alignment horizontal="center" vertical="center"/>
    </xf>
    <xf numFmtId="0" fontId="152" fillId="5" borderId="95" xfId="0" applyNumberFormat="1" applyFont="1" applyFill="1" applyBorder="1" applyAlignment="1" applyProtection="1">
      <alignment horizontal="center" vertical="center"/>
    </xf>
    <xf numFmtId="0" fontId="96" fillId="4" borderId="94" xfId="0" applyNumberFormat="1" applyFont="1" applyFill="1" applyBorder="1" applyAlignment="1" applyProtection="1">
      <alignment horizontal="center" vertical="center"/>
    </xf>
    <xf numFmtId="0" fontId="152" fillId="5" borderId="17" xfId="0" applyNumberFormat="1" applyFont="1" applyFill="1" applyBorder="1" applyAlignment="1" applyProtection="1">
      <alignment horizontal="center" vertical="center"/>
    </xf>
    <xf numFmtId="0" fontId="152" fillId="5" borderId="18" xfId="0" applyNumberFormat="1" applyFont="1" applyFill="1" applyBorder="1" applyAlignment="1" applyProtection="1">
      <alignment horizontal="center" vertical="center"/>
    </xf>
    <xf numFmtId="0" fontId="152" fillId="5" borderId="23" xfId="0" applyNumberFormat="1" applyFont="1" applyFill="1" applyBorder="1" applyAlignment="1" applyProtection="1">
      <alignment horizontal="center" vertical="center"/>
    </xf>
    <xf numFmtId="165" fontId="152" fillId="5" borderId="17" xfId="78" applyNumberFormat="1" applyFont="1" applyFill="1" applyBorder="1" applyAlignment="1" applyProtection="1">
      <alignment horizontal="center" vertical="center"/>
    </xf>
    <xf numFmtId="0" fontId="152" fillId="5" borderId="93" xfId="0" applyNumberFormat="1" applyFont="1" applyFill="1" applyBorder="1" applyAlignment="1" applyProtection="1">
      <alignment horizontal="center" vertical="center"/>
    </xf>
    <xf numFmtId="4" fontId="152" fillId="5" borderId="76" xfId="0" applyNumberFormat="1" applyFont="1" applyFill="1" applyBorder="1" applyAlignment="1" applyProtection="1">
      <alignment horizontal="right" vertical="center"/>
    </xf>
    <xf numFmtId="0" fontId="96" fillId="2" borderId="33" xfId="0" applyNumberFormat="1" applyFont="1" applyFill="1" applyBorder="1" applyAlignment="1" applyProtection="1">
      <alignment horizontal="left" vertical="center" wrapText="1"/>
    </xf>
    <xf numFmtId="0" fontId="96" fillId="5" borderId="76" xfId="0" applyNumberFormat="1" applyFont="1" applyFill="1" applyBorder="1" applyAlignment="1" applyProtection="1">
      <alignment horizontal="right" vertical="center"/>
    </xf>
    <xf numFmtId="0" fontId="96" fillId="5" borderId="75" xfId="0" applyNumberFormat="1" applyFont="1" applyFill="1" applyBorder="1" applyAlignment="1" applyProtection="1">
      <alignment horizontal="center" vertical="center"/>
    </xf>
    <xf numFmtId="0" fontId="96" fillId="5" borderId="33" xfId="0" applyNumberFormat="1" applyFont="1" applyFill="1" applyBorder="1" applyAlignment="1" applyProtection="1">
      <alignment horizontal="left" vertical="center" wrapText="1"/>
    </xf>
    <xf numFmtId="4" fontId="152" fillId="2" borderId="33" xfId="0" applyNumberFormat="1" applyFont="1" applyFill="1" applyBorder="1" applyAlignment="1" applyProtection="1">
      <alignment horizontal="right" vertical="center"/>
    </xf>
    <xf numFmtId="165" fontId="152" fillId="2" borderId="33" xfId="78" applyNumberFormat="1" applyFont="1" applyFill="1" applyBorder="1" applyAlignment="1" applyProtection="1">
      <alignment horizontal="right" vertical="center"/>
    </xf>
    <xf numFmtId="4" fontId="152" fillId="2" borderId="76" xfId="0" applyNumberFormat="1" applyFont="1" applyFill="1" applyBorder="1" applyAlignment="1" applyProtection="1">
      <alignment horizontal="right" vertical="center"/>
    </xf>
    <xf numFmtId="3" fontId="152" fillId="2" borderId="33" xfId="0" applyNumberFormat="1" applyFont="1" applyFill="1" applyBorder="1" applyAlignment="1" applyProtection="1">
      <alignment horizontal="right" vertical="center"/>
    </xf>
    <xf numFmtId="0" fontId="96" fillId="2" borderId="96" xfId="0" applyNumberFormat="1" applyFont="1" applyFill="1" applyBorder="1" applyAlignment="1" applyProtection="1">
      <alignment horizontal="center" vertical="center"/>
    </xf>
    <xf numFmtId="0" fontId="152" fillId="2" borderId="97" xfId="0" applyNumberFormat="1" applyFont="1" applyFill="1" applyBorder="1" applyAlignment="1" applyProtection="1">
      <alignment horizontal="left" vertical="center" wrapText="1"/>
    </xf>
    <xf numFmtId="4" fontId="152" fillId="2" borderId="97" xfId="0" applyNumberFormat="1" applyFont="1" applyFill="1" applyBorder="1" applyAlignment="1" applyProtection="1">
      <alignment horizontal="right" vertical="center"/>
    </xf>
    <xf numFmtId="0" fontId="152" fillId="3" borderId="41" xfId="0" applyNumberFormat="1" applyFont="1" applyFill="1" applyBorder="1" applyAlignment="1" applyProtection="1">
      <alignment horizontal="left" vertical="center"/>
    </xf>
    <xf numFmtId="0" fontId="152" fillId="3" borderId="15" xfId="0" applyNumberFormat="1" applyFont="1" applyFill="1" applyBorder="1" applyAlignment="1" applyProtection="1">
      <alignment horizontal="center" vertical="center"/>
    </xf>
    <xf numFmtId="0" fontId="68" fillId="4" borderId="21" xfId="0" applyNumberFormat="1" applyFont="1" applyFill="1" applyBorder="1" applyAlignment="1" applyProtection="1">
      <alignment horizontal="center" vertical="center" wrapText="1"/>
    </xf>
    <xf numFmtId="0" fontId="147" fillId="4" borderId="22" xfId="0" applyNumberFormat="1" applyFont="1" applyFill="1" applyBorder="1" applyAlignment="1" applyProtection="1">
      <alignment horizontal="center" vertical="center"/>
    </xf>
    <xf numFmtId="0" fontId="96" fillId="4" borderId="32" xfId="0" applyNumberFormat="1" applyFont="1" applyFill="1" applyBorder="1" applyAlignment="1" applyProtection="1">
      <alignment horizontal="center" vertical="center"/>
    </xf>
    <xf numFmtId="0" fontId="96" fillId="4" borderId="33" xfId="0" applyNumberFormat="1" applyFont="1" applyFill="1" applyBorder="1" applyAlignment="1" applyProtection="1">
      <alignment horizontal="left" vertical="center"/>
    </xf>
    <xf numFmtId="3" fontId="96" fillId="4" borderId="33" xfId="0" applyNumberFormat="1" applyFont="1" applyFill="1" applyBorder="1" applyAlignment="1" applyProtection="1">
      <alignment horizontal="right" vertical="center"/>
    </xf>
    <xf numFmtId="3" fontId="96" fillId="4" borderId="6" xfId="0" applyNumberFormat="1" applyFont="1" applyFill="1" applyBorder="1" applyAlignment="1" applyProtection="1">
      <alignment horizontal="right" vertical="center"/>
    </xf>
    <xf numFmtId="0" fontId="152" fillId="4" borderId="32" xfId="0" applyNumberFormat="1" applyFont="1" applyFill="1" applyBorder="1" applyAlignment="1" applyProtection="1">
      <alignment horizontal="center" vertical="center"/>
    </xf>
    <xf numFmtId="0" fontId="152" fillId="4" borderId="33" xfId="0" applyNumberFormat="1" applyFont="1" applyFill="1" applyBorder="1" applyAlignment="1" applyProtection="1">
      <alignment horizontal="left" vertical="center"/>
    </xf>
    <xf numFmtId="3" fontId="152" fillId="4" borderId="33" xfId="0" applyNumberFormat="1" applyFont="1" applyFill="1" applyBorder="1" applyAlignment="1" applyProtection="1">
      <alignment horizontal="right" vertical="center"/>
    </xf>
    <xf numFmtId="3" fontId="152" fillId="5" borderId="6" xfId="0" applyNumberFormat="1" applyFont="1" applyFill="1" applyBorder="1" applyAlignment="1" applyProtection="1">
      <alignment horizontal="right" vertical="center"/>
    </xf>
    <xf numFmtId="3" fontId="96" fillId="5" borderId="6" xfId="0" applyNumberFormat="1" applyFont="1" applyFill="1" applyBorder="1" applyAlignment="1" applyProtection="1">
      <alignment horizontal="right" vertical="center"/>
    </xf>
    <xf numFmtId="0" fontId="102" fillId="4" borderId="30" xfId="0" applyNumberFormat="1" applyFont="1" applyFill="1" applyBorder="1" applyAlignment="1" applyProtection="1">
      <alignment horizontal="center" vertical="center"/>
    </xf>
    <xf numFmtId="0" fontId="147" fillId="4" borderId="21" xfId="0" applyNumberFormat="1" applyFont="1" applyFill="1" applyBorder="1" applyAlignment="1" applyProtection="1">
      <alignment horizontal="center" vertical="center"/>
    </xf>
    <xf numFmtId="165" fontId="102" fillId="4" borderId="17" xfId="77" applyNumberFormat="1" applyFont="1" applyFill="1" applyBorder="1" applyAlignment="1" applyProtection="1">
      <alignment horizontal="center" vertical="center"/>
    </xf>
    <xf numFmtId="0" fontId="152" fillId="4" borderId="33" xfId="0" applyNumberFormat="1" applyFont="1" applyFill="1" applyBorder="1" applyAlignment="1" applyProtection="1">
      <alignment horizontal="left" vertical="center" wrapText="1"/>
    </xf>
    <xf numFmtId="3" fontId="152" fillId="4" borderId="6" xfId="0" applyNumberFormat="1" applyFont="1" applyFill="1" applyBorder="1" applyAlignment="1" applyProtection="1">
      <alignment horizontal="right" vertical="center"/>
    </xf>
    <xf numFmtId="0" fontId="96" fillId="4" borderId="33" xfId="0" applyNumberFormat="1" applyFont="1" applyFill="1" applyBorder="1" applyAlignment="1" applyProtection="1">
      <alignment horizontal="left" vertical="center" wrapText="1"/>
    </xf>
    <xf numFmtId="165" fontId="96" fillId="5" borderId="33" xfId="77" applyNumberFormat="1" applyFont="1" applyFill="1" applyBorder="1" applyAlignment="1" applyProtection="1">
      <alignment horizontal="right" vertical="center"/>
    </xf>
    <xf numFmtId="165" fontId="96" fillId="4" borderId="33" xfId="77" applyNumberFormat="1" applyFont="1" applyFill="1" applyBorder="1" applyAlignment="1" applyProtection="1">
      <alignment horizontal="right" vertical="center"/>
    </xf>
    <xf numFmtId="0" fontId="96" fillId="5" borderId="32" xfId="0" applyNumberFormat="1" applyFont="1" applyFill="1" applyBorder="1" applyAlignment="1" applyProtection="1">
      <alignment horizontal="center" vertical="center"/>
    </xf>
    <xf numFmtId="165" fontId="152" fillId="5" borderId="33" xfId="77" applyNumberFormat="1" applyFont="1" applyFill="1" applyBorder="1" applyAlignment="1" applyProtection="1">
      <alignment horizontal="right" vertical="center"/>
    </xf>
    <xf numFmtId="165" fontId="152" fillId="4" borderId="33" xfId="77" applyNumberFormat="1" applyFont="1" applyFill="1" applyBorder="1" applyAlignment="1" applyProtection="1">
      <alignment horizontal="right" vertical="center"/>
    </xf>
    <xf numFmtId="0" fontId="68" fillId="4" borderId="1" xfId="113" applyNumberFormat="1" applyFont="1" applyFill="1" applyBorder="1" applyAlignment="1" applyProtection="1">
      <alignment wrapText="1"/>
      <protection locked="0"/>
    </xf>
    <xf numFmtId="0" fontId="68" fillId="4" borderId="1" xfId="113" applyNumberFormat="1" applyFont="1" applyFill="1" applyBorder="1" applyAlignment="1" applyProtection="1">
      <alignment horizontal="left" vertical="top"/>
    </xf>
    <xf numFmtId="0" fontId="102" fillId="3" borderId="41" xfId="113" applyNumberFormat="1" applyFont="1" applyFill="1" applyBorder="1" applyAlignment="1" applyProtection="1">
      <alignment horizontal="left" vertical="center"/>
    </xf>
    <xf numFmtId="0" fontId="102" fillId="3" borderId="7" xfId="113" applyNumberFormat="1" applyFont="1" applyFill="1" applyBorder="1" applyAlignment="1" applyProtection="1">
      <alignment horizontal="center" vertical="center" wrapText="1"/>
    </xf>
    <xf numFmtId="0" fontId="102" fillId="3" borderId="9" xfId="113" applyNumberFormat="1" applyFont="1" applyFill="1" applyBorder="1" applyAlignment="1" applyProtection="1">
      <alignment horizontal="center" vertical="center" wrapText="1"/>
    </xf>
    <xf numFmtId="0" fontId="102" fillId="3" borderId="10" xfId="113" applyNumberFormat="1" applyFont="1" applyFill="1" applyBorder="1" applyAlignment="1" applyProtection="1">
      <alignment horizontal="center" vertical="center" wrapText="1"/>
    </xf>
    <xf numFmtId="0" fontId="102" fillId="3" borderId="11" xfId="113" applyNumberFormat="1" applyFont="1" applyFill="1" applyBorder="1" applyAlignment="1" applyProtection="1">
      <alignment horizontal="center" vertical="center" wrapText="1"/>
    </xf>
    <xf numFmtId="0" fontId="102" fillId="3" borderId="12" xfId="113" applyNumberFormat="1" applyFont="1" applyFill="1" applyBorder="1" applyAlignment="1" applyProtection="1">
      <alignment horizontal="center" vertical="center" wrapText="1"/>
    </xf>
    <xf numFmtId="0" fontId="102" fillId="3" borderId="13" xfId="113" applyNumberFormat="1" applyFont="1" applyFill="1" applyBorder="1" applyAlignment="1" applyProtection="1">
      <alignment horizontal="center" vertical="center" wrapText="1"/>
    </xf>
    <xf numFmtId="0" fontId="102" fillId="3" borderId="14" xfId="113" applyNumberFormat="1" applyFont="1" applyFill="1" applyBorder="1" applyAlignment="1" applyProtection="1">
      <alignment horizontal="center" vertical="center"/>
    </xf>
    <xf numFmtId="0" fontId="102" fillId="3" borderId="15" xfId="113" applyNumberFormat="1" applyFont="1" applyFill="1" applyBorder="1" applyAlignment="1" applyProtection="1">
      <alignment horizontal="center" vertical="center"/>
    </xf>
    <xf numFmtId="0" fontId="102" fillId="4" borderId="17" xfId="113" applyNumberFormat="1" applyFont="1" applyFill="1" applyBorder="1" applyAlignment="1" applyProtection="1">
      <alignment horizontal="center" vertical="center"/>
    </xf>
    <xf numFmtId="0" fontId="102" fillId="4" borderId="18" xfId="113" applyNumberFormat="1" applyFont="1" applyFill="1" applyBorder="1" applyAlignment="1" applyProtection="1">
      <alignment horizontal="center" vertical="center"/>
    </xf>
    <xf numFmtId="0" fontId="102" fillId="4" borderId="19" xfId="113" applyNumberFormat="1" applyFont="1" applyFill="1" applyBorder="1" applyAlignment="1" applyProtection="1">
      <alignment horizontal="center" vertical="center"/>
    </xf>
    <xf numFmtId="0" fontId="102" fillId="4" borderId="20" xfId="113" applyNumberFormat="1" applyFont="1" applyFill="1" applyBorder="1" applyAlignment="1" applyProtection="1">
      <alignment horizontal="center" vertical="center"/>
    </xf>
    <xf numFmtId="0" fontId="68" fillId="4" borderId="21" xfId="113" applyNumberFormat="1" applyFont="1" applyFill="1" applyBorder="1" applyAlignment="1" applyProtection="1">
      <alignment horizontal="center" vertical="center"/>
    </xf>
    <xf numFmtId="0" fontId="68" fillId="4" borderId="22" xfId="113" applyNumberFormat="1" applyFont="1" applyFill="1" applyBorder="1" applyAlignment="1" applyProtection="1">
      <alignment horizontal="center" vertical="center"/>
    </xf>
    <xf numFmtId="3" fontId="102" fillId="4" borderId="17" xfId="113" applyNumberFormat="1" applyFont="1" applyFill="1" applyBorder="1" applyAlignment="1" applyProtection="1">
      <alignment horizontal="center" vertical="center"/>
    </xf>
    <xf numFmtId="0" fontId="102" fillId="4" borderId="23" xfId="113" applyNumberFormat="1" applyFont="1" applyFill="1" applyBorder="1" applyAlignment="1" applyProtection="1">
      <alignment horizontal="center" vertical="center"/>
    </xf>
    <xf numFmtId="0" fontId="68" fillId="2" borderId="32" xfId="113" applyNumberFormat="1" applyFont="1" applyFill="1" applyBorder="1" applyAlignment="1" applyProtection="1">
      <alignment horizontal="center" vertical="center"/>
    </xf>
    <xf numFmtId="0" fontId="68" fillId="2" borderId="33" xfId="113" applyNumberFormat="1" applyFont="1" applyFill="1" applyBorder="1" applyAlignment="1" applyProtection="1">
      <alignment horizontal="left" vertical="center"/>
    </xf>
    <xf numFmtId="3" fontId="68" fillId="2" borderId="33" xfId="113" applyNumberFormat="1" applyFont="1" applyFill="1" applyBorder="1" applyAlignment="1" applyProtection="1">
      <alignment horizontal="right" vertical="center"/>
    </xf>
    <xf numFmtId="1" fontId="68" fillId="2" borderId="33" xfId="85" applyNumberFormat="1" applyFont="1" applyFill="1" applyBorder="1" applyAlignment="1" applyProtection="1">
      <alignment horizontal="right" vertical="center"/>
    </xf>
    <xf numFmtId="165" fontId="68" fillId="2" borderId="33" xfId="85" applyNumberFormat="1" applyFont="1" applyFill="1" applyBorder="1" applyAlignment="1" applyProtection="1">
      <alignment horizontal="right" vertical="center"/>
    </xf>
    <xf numFmtId="165" fontId="68" fillId="2" borderId="33" xfId="77" applyNumberFormat="1" applyFont="1" applyFill="1" applyBorder="1" applyAlignment="1" applyProtection="1">
      <alignment horizontal="right" vertical="center"/>
    </xf>
    <xf numFmtId="165" fontId="102" fillId="2" borderId="6" xfId="77" applyNumberFormat="1" applyFont="1" applyFill="1" applyBorder="1" applyAlignment="1" applyProtection="1">
      <alignment horizontal="right" vertical="center"/>
    </xf>
    <xf numFmtId="1" fontId="68" fillId="2" borderId="33" xfId="113" applyNumberFormat="1" applyFont="1" applyFill="1" applyBorder="1" applyAlignment="1" applyProtection="1">
      <alignment horizontal="right" vertical="center"/>
    </xf>
    <xf numFmtId="0" fontId="102" fillId="2" borderId="32" xfId="113" applyNumberFormat="1" applyFont="1" applyFill="1" applyBorder="1" applyAlignment="1" applyProtection="1">
      <alignment horizontal="center" vertical="center"/>
    </xf>
    <xf numFmtId="0" fontId="102" fillId="2" borderId="33" xfId="113" applyNumberFormat="1" applyFont="1" applyFill="1" applyBorder="1" applyAlignment="1" applyProtection="1">
      <alignment horizontal="left" vertical="center"/>
    </xf>
    <xf numFmtId="3" fontId="102" fillId="2" borderId="33" xfId="113" applyNumberFormat="1" applyFont="1" applyFill="1" applyBorder="1" applyAlignment="1" applyProtection="1">
      <alignment horizontal="right" vertical="center"/>
    </xf>
    <xf numFmtId="165" fontId="102" fillId="2" borderId="33" xfId="77" applyNumberFormat="1" applyFont="1" applyFill="1" applyBorder="1" applyAlignment="1" applyProtection="1">
      <alignment horizontal="right" vertical="center"/>
    </xf>
    <xf numFmtId="9" fontId="68" fillId="4" borderId="1" xfId="85" applyFont="1"/>
    <xf numFmtId="3" fontId="102" fillId="4" borderId="28" xfId="113" applyNumberFormat="1" applyFont="1" applyFill="1" applyBorder="1" applyAlignment="1" applyProtection="1">
      <alignment horizontal="center" vertical="center"/>
    </xf>
    <xf numFmtId="0" fontId="102" fillId="4" borderId="29" xfId="113" applyNumberFormat="1" applyFont="1" applyFill="1" applyBorder="1" applyAlignment="1" applyProtection="1">
      <alignment horizontal="center" vertical="center"/>
    </xf>
    <xf numFmtId="0" fontId="102" fillId="4" borderId="28" xfId="113" applyNumberFormat="1" applyFont="1" applyFill="1" applyBorder="1" applyAlignment="1" applyProtection="1">
      <alignment horizontal="center" vertical="center"/>
    </xf>
    <xf numFmtId="0" fontId="102" fillId="4" borderId="30" xfId="113" applyNumberFormat="1" applyFont="1" applyFill="1" applyBorder="1" applyAlignment="1" applyProtection="1">
      <alignment horizontal="center" vertical="center"/>
    </xf>
    <xf numFmtId="9" fontId="102" fillId="4" borderId="31" xfId="85" applyFont="1" applyFill="1" applyBorder="1" applyAlignment="1" applyProtection="1">
      <alignment horizontal="center" vertical="center"/>
    </xf>
    <xf numFmtId="9" fontId="102" fillId="4" borderId="20" xfId="85" applyFont="1" applyFill="1" applyBorder="1" applyAlignment="1" applyProtection="1">
      <alignment horizontal="center" vertical="center"/>
    </xf>
    <xf numFmtId="0" fontId="102" fillId="2" borderId="33" xfId="113" applyNumberFormat="1" applyFont="1" applyFill="1" applyBorder="1" applyAlignment="1" applyProtection="1">
      <alignment horizontal="left" vertical="center" wrapText="1"/>
    </xf>
    <xf numFmtId="0" fontId="68" fillId="2" borderId="33" xfId="113" applyNumberFormat="1" applyFont="1" applyFill="1" applyBorder="1" applyAlignment="1" applyProtection="1">
      <alignment horizontal="left" vertical="center" wrapText="1"/>
    </xf>
    <xf numFmtId="3" fontId="68" fillId="2" borderId="6" xfId="113" applyNumberFormat="1" applyFont="1" applyFill="1" applyBorder="1" applyAlignment="1" applyProtection="1">
      <alignment horizontal="right" vertical="center"/>
    </xf>
    <xf numFmtId="165" fontId="68" fillId="2" borderId="6" xfId="77" applyNumberFormat="1" applyFont="1" applyFill="1" applyBorder="1" applyAlignment="1" applyProtection="1">
      <alignment horizontal="right" vertical="center"/>
    </xf>
    <xf numFmtId="0" fontId="18" fillId="4" borderId="1" xfId="10" applyNumberFormat="1" applyFont="1" applyFill="1" applyBorder="1" applyAlignment="1" applyProtection="1">
      <alignment wrapText="1"/>
      <protection locked="0"/>
    </xf>
    <xf numFmtId="0" fontId="153" fillId="4" borderId="1" xfId="10" applyNumberFormat="1" applyFont="1" applyFill="1" applyBorder="1" applyAlignment="1" applyProtection="1">
      <alignment horizontal="left" vertical="top"/>
    </xf>
    <xf numFmtId="0" fontId="18" fillId="0" borderId="0" xfId="0" applyFont="1"/>
    <xf numFmtId="0" fontId="150" fillId="3" borderId="41" xfId="10" applyNumberFormat="1" applyFont="1" applyFill="1" applyBorder="1" applyAlignment="1" applyProtection="1">
      <alignment horizontal="left" vertical="center"/>
    </xf>
    <xf numFmtId="0" fontId="151" fillId="3" borderId="44" xfId="10" applyNumberFormat="1" applyFont="1" applyFill="1" applyBorder="1" applyAlignment="1" applyProtection="1">
      <alignment horizontal="right" vertical="center"/>
    </xf>
    <xf numFmtId="164" fontId="151" fillId="3" borderId="45" xfId="10" applyNumberFormat="1" applyFont="1" applyFill="1" applyBorder="1" applyAlignment="1" applyProtection="1">
      <alignment horizontal="left" vertical="center"/>
    </xf>
    <xf numFmtId="0" fontId="152" fillId="3" borderId="7" xfId="10" applyNumberFormat="1" applyFont="1" applyFill="1" applyBorder="1" applyAlignment="1" applyProtection="1">
      <alignment horizontal="center" vertical="center"/>
    </xf>
    <xf numFmtId="0" fontId="151" fillId="3" borderId="9" xfId="10" applyNumberFormat="1" applyFont="1" applyFill="1" applyBorder="1" applyAlignment="1" applyProtection="1">
      <alignment horizontal="center" vertical="center" wrapText="1"/>
    </xf>
    <xf numFmtId="0" fontId="151" fillId="3" borderId="10" xfId="10" applyNumberFormat="1" applyFont="1" applyFill="1" applyBorder="1" applyAlignment="1" applyProtection="1">
      <alignment horizontal="center" vertical="center" wrapText="1"/>
    </xf>
    <xf numFmtId="0" fontId="151" fillId="3" borderId="11" xfId="10" applyNumberFormat="1" applyFont="1" applyFill="1" applyBorder="1" applyAlignment="1" applyProtection="1">
      <alignment horizontal="center" vertical="center" wrapText="1"/>
    </xf>
    <xf numFmtId="0" fontId="151" fillId="3" borderId="12" xfId="10" applyNumberFormat="1" applyFont="1" applyFill="1" applyBorder="1" applyAlignment="1" applyProtection="1">
      <alignment horizontal="center" vertical="center" wrapText="1"/>
    </xf>
    <xf numFmtId="0" fontId="152" fillId="3" borderId="11" xfId="10" applyNumberFormat="1" applyFont="1" applyFill="1" applyBorder="1" applyAlignment="1" applyProtection="1">
      <alignment horizontal="center" vertical="center" wrapText="1"/>
    </xf>
    <xf numFmtId="0" fontId="152" fillId="3" borderId="12" xfId="10" applyNumberFormat="1" applyFont="1" applyFill="1" applyBorder="1" applyAlignment="1" applyProtection="1">
      <alignment horizontal="center" vertical="center" wrapText="1"/>
    </xf>
    <xf numFmtId="0" fontId="152" fillId="3" borderId="13" xfId="10" applyNumberFormat="1" applyFont="1" applyFill="1" applyBorder="1" applyAlignment="1" applyProtection="1">
      <alignment horizontal="center" vertical="center" wrapText="1"/>
    </xf>
    <xf numFmtId="0" fontId="151" fillId="3" borderId="14" xfId="10" applyNumberFormat="1" applyFont="1" applyFill="1" applyBorder="1" applyAlignment="1" applyProtection="1">
      <alignment horizontal="center" vertical="center"/>
    </xf>
    <xf numFmtId="0" fontId="152" fillId="3" borderId="14" xfId="10" applyNumberFormat="1" applyFont="1" applyFill="1" applyBorder="1" applyAlignment="1" applyProtection="1">
      <alignment horizontal="center" vertical="center"/>
    </xf>
    <xf numFmtId="0" fontId="151" fillId="3" borderId="15" xfId="10" applyNumberFormat="1" applyFont="1" applyFill="1" applyBorder="1" applyAlignment="1" applyProtection="1">
      <alignment horizontal="center" vertical="center"/>
    </xf>
    <xf numFmtId="0" fontId="102" fillId="4" borderId="17" xfId="10" applyNumberFormat="1" applyFont="1" applyFill="1" applyBorder="1" applyAlignment="1" applyProtection="1">
      <alignment horizontal="center" vertical="center"/>
    </xf>
    <xf numFmtId="0" fontId="102" fillId="4" borderId="18" xfId="10" applyNumberFormat="1" applyFont="1" applyFill="1" applyBorder="1" applyAlignment="1" applyProtection="1">
      <alignment horizontal="center" vertical="center"/>
    </xf>
    <xf numFmtId="0" fontId="102" fillId="4" borderId="19" xfId="10" applyNumberFormat="1" applyFont="1" applyFill="1" applyBorder="1" applyAlignment="1" applyProtection="1">
      <alignment horizontal="center" vertical="center"/>
    </xf>
    <xf numFmtId="0" fontId="102" fillId="4" borderId="20" xfId="10" applyNumberFormat="1" applyFont="1" applyFill="1" applyBorder="1" applyAlignment="1" applyProtection="1">
      <alignment horizontal="center" vertical="center"/>
    </xf>
    <xf numFmtId="0" fontId="68" fillId="4" borderId="21" xfId="10" applyNumberFormat="1" applyFont="1" applyFill="1" applyBorder="1" applyAlignment="1" applyProtection="1">
      <alignment horizontal="center" vertical="center"/>
    </xf>
    <xf numFmtId="0" fontId="147" fillId="4" borderId="22" xfId="10" applyNumberFormat="1" applyFont="1" applyFill="1" applyBorder="1" applyAlignment="1" applyProtection="1">
      <alignment horizontal="center" vertical="center"/>
    </xf>
    <xf numFmtId="0" fontId="102" fillId="4" borderId="23" xfId="10" applyNumberFormat="1" applyFont="1" applyFill="1" applyBorder="1" applyAlignment="1" applyProtection="1">
      <alignment horizontal="center" vertical="center"/>
    </xf>
    <xf numFmtId="0" fontId="96" fillId="2" borderId="32" xfId="10" applyNumberFormat="1" applyFont="1" applyFill="1" applyBorder="1" applyAlignment="1" applyProtection="1">
      <alignment horizontal="center" vertical="center"/>
    </xf>
    <xf numFmtId="0" fontId="96" fillId="2" borderId="33" xfId="10" applyNumberFormat="1" applyFont="1" applyFill="1" applyBorder="1" applyAlignment="1" applyProtection="1">
      <alignment horizontal="left" vertical="center"/>
    </xf>
    <xf numFmtId="4" fontId="96" fillId="2" borderId="33" xfId="10" applyNumberFormat="1" applyFont="1" applyFill="1" applyBorder="1" applyAlignment="1" applyProtection="1">
      <alignment horizontal="right" vertical="center"/>
    </xf>
    <xf numFmtId="3" fontId="96" fillId="2" borderId="33" xfId="10" applyNumberFormat="1" applyFont="1" applyFill="1" applyBorder="1" applyAlignment="1" applyProtection="1">
      <alignment horizontal="right" vertical="center"/>
    </xf>
    <xf numFmtId="3" fontId="152" fillId="2" borderId="33" xfId="10" applyNumberFormat="1" applyFont="1" applyFill="1" applyBorder="1" applyAlignment="1" applyProtection="1">
      <alignment horizontal="right" vertical="center"/>
    </xf>
    <xf numFmtId="3" fontId="96" fillId="2" borderId="6" xfId="10" applyNumberFormat="1" applyFont="1" applyFill="1" applyBorder="1" applyAlignment="1" applyProtection="1">
      <alignment horizontal="right" vertical="center"/>
    </xf>
    <xf numFmtId="0" fontId="152" fillId="2" borderId="32" xfId="10" applyNumberFormat="1" applyFont="1" applyFill="1" applyBorder="1" applyAlignment="1" applyProtection="1">
      <alignment horizontal="center" vertical="center"/>
    </xf>
    <xf numFmtId="0" fontId="152" fillId="2" borderId="33" xfId="10" applyNumberFormat="1" applyFont="1" applyFill="1" applyBorder="1" applyAlignment="1" applyProtection="1">
      <alignment horizontal="left" vertical="center"/>
    </xf>
    <xf numFmtId="4" fontId="152" fillId="2" borderId="33" xfId="10" applyNumberFormat="1" applyFont="1" applyFill="1" applyBorder="1" applyAlignment="1" applyProtection="1">
      <alignment horizontal="right" vertical="center"/>
    </xf>
    <xf numFmtId="3" fontId="152" fillId="2" borderId="6" xfId="10" applyNumberFormat="1" applyFont="1" applyFill="1" applyBorder="1" applyAlignment="1" applyProtection="1">
      <alignment horizontal="right" vertical="center"/>
    </xf>
    <xf numFmtId="0" fontId="102" fillId="4" borderId="28" xfId="10" applyNumberFormat="1" applyFont="1" applyFill="1" applyBorder="1" applyAlignment="1" applyProtection="1">
      <alignment horizontal="center" vertical="center"/>
    </xf>
    <xf numFmtId="0" fontId="102" fillId="4" borderId="29" xfId="10" applyNumberFormat="1" applyFont="1" applyFill="1" applyBorder="1" applyAlignment="1" applyProtection="1">
      <alignment horizontal="center" vertical="center"/>
    </xf>
    <xf numFmtId="0" fontId="102" fillId="4" borderId="30" xfId="10" applyNumberFormat="1" applyFont="1" applyFill="1" applyBorder="1" applyAlignment="1" applyProtection="1">
      <alignment horizontal="center" vertical="center"/>
    </xf>
    <xf numFmtId="0" fontId="102" fillId="4" borderId="31" xfId="10" applyNumberFormat="1" applyFont="1" applyFill="1" applyBorder="1" applyAlignment="1" applyProtection="1">
      <alignment horizontal="center" vertical="center"/>
    </xf>
    <xf numFmtId="0" fontId="147" fillId="4" borderId="21" xfId="10" applyNumberFormat="1" applyFont="1" applyFill="1" applyBorder="1" applyAlignment="1" applyProtection="1">
      <alignment horizontal="center" vertical="center"/>
    </xf>
    <xf numFmtId="0" fontId="152" fillId="2" borderId="33" xfId="10" applyNumberFormat="1" applyFont="1" applyFill="1" applyBorder="1" applyAlignment="1" applyProtection="1">
      <alignment horizontal="left" vertical="center" wrapText="1"/>
    </xf>
    <xf numFmtId="0" fontId="96" fillId="2" borderId="33" xfId="10" applyNumberFormat="1" applyFont="1" applyFill="1" applyBorder="1" applyAlignment="1" applyProtection="1">
      <alignment horizontal="left" vertical="center" wrapText="1"/>
    </xf>
    <xf numFmtId="167" fontId="96" fillId="2" borderId="33" xfId="77" applyNumberFormat="1" applyFont="1" applyFill="1" applyBorder="1" applyAlignment="1" applyProtection="1">
      <alignment horizontal="right" vertical="center"/>
    </xf>
    <xf numFmtId="0" fontId="18" fillId="4" borderId="1" xfId="14" applyNumberFormat="1" applyFont="1" applyFill="1" applyBorder="1" applyAlignment="1" applyProtection="1">
      <alignment wrapText="1"/>
      <protection locked="0"/>
    </xf>
    <xf numFmtId="0" fontId="154" fillId="4" borderId="1" xfId="14" applyNumberFormat="1" applyFont="1" applyFill="1" applyBorder="1" applyAlignment="1" applyProtection="1">
      <alignment horizontal="left" vertical="top"/>
    </xf>
    <xf numFmtId="0" fontId="18" fillId="4" borderId="1" xfId="0" applyNumberFormat="1" applyFont="1" applyFill="1" applyBorder="1" applyAlignment="1" applyProtection="1">
      <alignment wrapText="1"/>
      <protection locked="0"/>
    </xf>
    <xf numFmtId="0" fontId="156" fillId="4" borderId="169" xfId="0" applyNumberFormat="1" applyFont="1" applyFill="1" applyBorder="1" applyAlignment="1" applyProtection="1">
      <alignment horizontal="center" vertical="center"/>
    </xf>
    <xf numFmtId="0" fontId="156" fillId="4" borderId="170" xfId="0" applyNumberFormat="1" applyFont="1" applyFill="1" applyBorder="1" applyAlignment="1" applyProtection="1">
      <alignment horizontal="center" vertical="center"/>
    </xf>
    <xf numFmtId="0" fontId="156" fillId="4" borderId="171" xfId="0" applyNumberFormat="1" applyFont="1" applyFill="1" applyBorder="1" applyAlignment="1" applyProtection="1">
      <alignment horizontal="center" vertical="center"/>
    </xf>
    <xf numFmtId="0" fontId="156" fillId="4" borderId="8" xfId="0" applyNumberFormat="1" applyFont="1" applyFill="1" applyBorder="1" applyAlignment="1" applyProtection="1">
      <alignment horizontal="center" vertical="center" wrapText="1"/>
    </xf>
    <xf numFmtId="0" fontId="157" fillId="4" borderId="68" xfId="0" applyNumberFormat="1" applyFont="1" applyFill="1" applyBorder="1" applyAlignment="1" applyProtection="1">
      <alignment horizontal="center" vertical="center" wrapText="1"/>
    </xf>
    <xf numFmtId="0" fontId="156" fillId="4" borderId="168" xfId="0" applyNumberFormat="1" applyFont="1" applyFill="1" applyBorder="1" applyAlignment="1" applyProtection="1">
      <alignment horizontal="center" vertical="center" wrapText="1"/>
    </xf>
    <xf numFmtId="165" fontId="18" fillId="0" borderId="0" xfId="78" applyNumberFormat="1" applyFont="1"/>
    <xf numFmtId="165" fontId="18" fillId="0" borderId="0" xfId="0" applyNumberFormat="1" applyFont="1"/>
    <xf numFmtId="0" fontId="153" fillId="4" borderId="75" xfId="0" applyNumberFormat="1" applyFont="1" applyFill="1" applyBorder="1" applyAlignment="1" applyProtection="1">
      <alignment horizontal="center" vertical="center"/>
    </xf>
    <xf numFmtId="0" fontId="70" fillId="4" borderId="33" xfId="0" applyNumberFormat="1" applyFont="1" applyFill="1" applyBorder="1" applyAlignment="1" applyProtection="1">
      <alignment horizontal="left" vertical="center"/>
    </xf>
    <xf numFmtId="0" fontId="153" fillId="4" borderId="33" xfId="0" applyNumberFormat="1" applyFont="1" applyFill="1" applyBorder="1" applyAlignment="1" applyProtection="1">
      <alignment horizontal="center" vertical="center"/>
    </xf>
    <xf numFmtId="0" fontId="153" fillId="4" borderId="33" xfId="0" applyNumberFormat="1" applyFont="1" applyFill="1" applyBorder="1" applyAlignment="1" applyProtection="1">
      <alignment horizontal="left" vertical="center" wrapText="1"/>
    </xf>
    <xf numFmtId="0" fontId="153" fillId="4" borderId="33" xfId="0" applyNumberFormat="1" applyFont="1" applyFill="1" applyBorder="1" applyAlignment="1" applyProtection="1">
      <alignment horizontal="left" vertical="center"/>
    </xf>
    <xf numFmtId="3" fontId="153" fillId="4" borderId="33" xfId="0" applyNumberFormat="1" applyFont="1" applyFill="1" applyBorder="1" applyAlignment="1" applyProtection="1">
      <alignment horizontal="right" vertical="center"/>
    </xf>
    <xf numFmtId="165" fontId="153" fillId="4" borderId="33" xfId="0" applyNumberFormat="1" applyFont="1" applyFill="1" applyBorder="1" applyAlignment="1" applyProtection="1">
      <alignment horizontal="right" vertical="center"/>
    </xf>
    <xf numFmtId="3" fontId="153" fillId="4" borderId="76" xfId="0" applyNumberFormat="1" applyFont="1" applyFill="1" applyBorder="1" applyAlignment="1" applyProtection="1">
      <alignment horizontal="right" vertical="center"/>
    </xf>
    <xf numFmtId="0" fontId="18" fillId="0" borderId="1" xfId="0" applyFont="1" applyBorder="1"/>
    <xf numFmtId="3" fontId="18" fillId="0" borderId="0" xfId="0" applyNumberFormat="1" applyFont="1"/>
    <xf numFmtId="0" fontId="153" fillId="4" borderId="66" xfId="0" applyNumberFormat="1" applyFont="1" applyFill="1" applyBorder="1" applyAlignment="1" applyProtection="1">
      <alignment horizontal="left" vertical="center"/>
    </xf>
    <xf numFmtId="0" fontId="153" fillId="4" borderId="66" xfId="0" applyNumberFormat="1" applyFont="1" applyFill="1" applyBorder="1" applyAlignment="1" applyProtection="1">
      <alignment horizontal="center" vertical="center"/>
    </xf>
    <xf numFmtId="0" fontId="153" fillId="4" borderId="66" xfId="0" applyNumberFormat="1" applyFont="1" applyFill="1" applyBorder="1" applyAlignment="1" applyProtection="1">
      <alignment horizontal="left" vertical="center" wrapText="1"/>
    </xf>
    <xf numFmtId="3" fontId="153" fillId="4" borderId="66" xfId="0" applyNumberFormat="1" applyFont="1" applyFill="1" applyBorder="1" applyAlignment="1" applyProtection="1">
      <alignment horizontal="right" vertical="center"/>
    </xf>
    <xf numFmtId="3" fontId="153" fillId="4" borderId="110" xfId="0" applyNumberFormat="1" applyFont="1" applyFill="1" applyBorder="1" applyAlignment="1" applyProtection="1">
      <alignment horizontal="right" vertical="center"/>
    </xf>
    <xf numFmtId="0" fontId="153" fillId="4" borderId="60" xfId="0" applyNumberFormat="1" applyFont="1" applyFill="1" applyBorder="1" applyAlignment="1" applyProtection="1">
      <alignment horizontal="left" vertical="center"/>
    </xf>
    <xf numFmtId="0" fontId="153" fillId="4" borderId="60" xfId="0" applyNumberFormat="1" applyFont="1" applyFill="1" applyBorder="1" applyAlignment="1" applyProtection="1">
      <alignment horizontal="center" vertical="center"/>
    </xf>
    <xf numFmtId="0" fontId="153" fillId="4" borderId="60" xfId="0" applyNumberFormat="1" applyFont="1" applyFill="1" applyBorder="1" applyAlignment="1" applyProtection="1">
      <alignment horizontal="left" vertical="center" wrapText="1"/>
    </xf>
    <xf numFmtId="3" fontId="153" fillId="4" borderId="60" xfId="0" applyNumberFormat="1" applyFont="1" applyFill="1" applyBorder="1" applyAlignment="1" applyProtection="1">
      <alignment horizontal="right" vertical="center"/>
    </xf>
    <xf numFmtId="3" fontId="153" fillId="4" borderId="78" xfId="0" applyNumberFormat="1" applyFont="1" applyFill="1" applyBorder="1" applyAlignment="1" applyProtection="1">
      <alignment horizontal="right" vertical="center"/>
    </xf>
    <xf numFmtId="0" fontId="153" fillId="4" borderId="96" xfId="0" applyNumberFormat="1" applyFont="1" applyFill="1" applyBorder="1" applyAlignment="1" applyProtection="1">
      <alignment horizontal="center" vertical="center"/>
    </xf>
    <xf numFmtId="0" fontId="153" fillId="4" borderId="172" xfId="0" applyNumberFormat="1" applyFont="1" applyFill="1" applyBorder="1" applyAlignment="1" applyProtection="1">
      <alignment horizontal="left" vertical="center"/>
    </xf>
    <xf numFmtId="0" fontId="153" fillId="4" borderId="172" xfId="0" applyNumberFormat="1" applyFont="1" applyFill="1" applyBorder="1" applyAlignment="1" applyProtection="1">
      <alignment horizontal="center" vertical="center"/>
    </xf>
    <xf numFmtId="0" fontId="153" fillId="4" borderId="172" xfId="0" applyNumberFormat="1" applyFont="1" applyFill="1" applyBorder="1" applyAlignment="1" applyProtection="1">
      <alignment horizontal="left" vertical="center" wrapText="1"/>
    </xf>
    <xf numFmtId="3" fontId="153" fillId="4" borderId="172" xfId="0" applyNumberFormat="1" applyFont="1" applyFill="1" applyBorder="1" applyAlignment="1" applyProtection="1">
      <alignment horizontal="right" vertical="center"/>
    </xf>
    <xf numFmtId="3" fontId="153" fillId="4" borderId="173" xfId="0" applyNumberFormat="1" applyFont="1" applyFill="1" applyBorder="1" applyAlignment="1" applyProtection="1">
      <alignment horizontal="right" vertical="center"/>
    </xf>
    <xf numFmtId="0" fontId="158" fillId="4" borderId="1" xfId="0" applyNumberFormat="1" applyFont="1" applyFill="1" applyBorder="1" applyAlignment="1" applyProtection="1">
      <alignment horizontal="left" vertical="top"/>
    </xf>
    <xf numFmtId="0" fontId="160" fillId="4" borderId="8" xfId="0" applyNumberFormat="1" applyFont="1" applyFill="1" applyBorder="1" applyAlignment="1" applyProtection="1">
      <alignment horizontal="center" vertical="center"/>
    </xf>
    <xf numFmtId="0" fontId="160" fillId="4" borderId="40" xfId="0" applyNumberFormat="1" applyFont="1" applyFill="1" applyBorder="1" applyAlignment="1" applyProtection="1">
      <alignment horizontal="center" vertical="center"/>
    </xf>
    <xf numFmtId="0" fontId="160" fillId="4" borderId="8" xfId="0" applyNumberFormat="1" applyFont="1" applyFill="1" applyBorder="1" applyAlignment="1" applyProtection="1">
      <alignment horizontal="center" vertical="center" wrapText="1"/>
    </xf>
    <xf numFmtId="0" fontId="158" fillId="4" borderId="8" xfId="0" applyNumberFormat="1" applyFont="1" applyFill="1" applyBorder="1" applyAlignment="1" applyProtection="1">
      <alignment horizontal="center" vertical="center" wrapText="1"/>
    </xf>
    <xf numFmtId="0" fontId="160" fillId="4" borderId="40" xfId="0" applyNumberFormat="1" applyFont="1" applyFill="1" applyBorder="1" applyAlignment="1" applyProtection="1">
      <alignment horizontal="center" vertical="center" wrapText="1"/>
    </xf>
    <xf numFmtId="0" fontId="70" fillId="4" borderId="32" xfId="0" applyNumberFormat="1" applyFont="1" applyFill="1" applyBorder="1" applyAlignment="1" applyProtection="1">
      <alignment horizontal="center" vertical="center"/>
    </xf>
    <xf numFmtId="0" fontId="70" fillId="4" borderId="33" xfId="0" applyNumberFormat="1" applyFont="1" applyFill="1" applyBorder="1" applyAlignment="1" applyProtection="1">
      <alignment horizontal="center" vertical="center"/>
    </xf>
    <xf numFmtId="0" fontId="70" fillId="4" borderId="33" xfId="0" applyNumberFormat="1" applyFont="1" applyFill="1" applyBorder="1" applyAlignment="1" applyProtection="1">
      <alignment horizontal="left" vertical="center" wrapText="1"/>
    </xf>
    <xf numFmtId="3" fontId="70" fillId="4" borderId="33" xfId="0" applyNumberFormat="1" applyFont="1" applyFill="1" applyBorder="1" applyAlignment="1" applyProtection="1">
      <alignment horizontal="right" vertical="center"/>
    </xf>
    <xf numFmtId="3" fontId="70" fillId="4" borderId="6" xfId="0" applyNumberFormat="1" applyFont="1" applyFill="1" applyBorder="1" applyAlignment="1" applyProtection="1">
      <alignment horizontal="right" vertical="center"/>
    </xf>
    <xf numFmtId="0" fontId="70" fillId="4" borderId="72" xfId="0" applyNumberFormat="1" applyFont="1" applyFill="1" applyBorder="1" applyAlignment="1" applyProtection="1">
      <alignment horizontal="center" vertical="center"/>
    </xf>
    <xf numFmtId="0" fontId="70" fillId="4" borderId="73" xfId="0" applyNumberFormat="1" applyFont="1" applyFill="1" applyBorder="1" applyAlignment="1" applyProtection="1">
      <alignment horizontal="left" vertical="center"/>
    </xf>
    <xf numFmtId="0" fontId="70" fillId="4" borderId="73" xfId="0" applyNumberFormat="1" applyFont="1" applyFill="1" applyBorder="1" applyAlignment="1" applyProtection="1">
      <alignment horizontal="center" vertical="center"/>
    </xf>
    <xf numFmtId="0" fontId="70" fillId="4" borderId="73" xfId="0" applyNumberFormat="1" applyFont="1" applyFill="1" applyBorder="1" applyAlignment="1" applyProtection="1">
      <alignment horizontal="left" vertical="center" wrapText="1"/>
    </xf>
    <xf numFmtId="3" fontId="70" fillId="4" borderId="73" xfId="0" applyNumberFormat="1" applyFont="1" applyFill="1" applyBorder="1" applyAlignment="1" applyProtection="1">
      <alignment horizontal="right" vertical="center"/>
    </xf>
    <xf numFmtId="165" fontId="70" fillId="4" borderId="73" xfId="77" applyNumberFormat="1" applyFont="1" applyFill="1" applyBorder="1" applyAlignment="1" applyProtection="1">
      <alignment horizontal="right" vertical="center"/>
    </xf>
    <xf numFmtId="165" fontId="70" fillId="4" borderId="74" xfId="77" applyNumberFormat="1" applyFont="1" applyFill="1" applyBorder="1" applyAlignment="1" applyProtection="1">
      <alignment horizontal="right" vertical="center"/>
    </xf>
    <xf numFmtId="3" fontId="26" fillId="4" borderId="1" xfId="0" applyNumberFormat="1" applyFont="1" applyFill="1" applyBorder="1" applyAlignment="1" applyProtection="1">
      <alignment wrapText="1"/>
      <protection locked="0"/>
    </xf>
    <xf numFmtId="0" fontId="70" fillId="4" borderId="33" xfId="534" applyNumberFormat="1" applyFont="1" applyFill="1" applyBorder="1" applyAlignment="1" applyProtection="1">
      <alignment horizontal="left" vertical="center" wrapText="1"/>
    </xf>
    <xf numFmtId="0" fontId="70" fillId="4" borderId="1" xfId="104" applyNumberFormat="1" applyFont="1" applyFill="1" applyBorder="1" applyAlignment="1" applyProtection="1">
      <alignment horizontal="left" vertical="top"/>
    </xf>
    <xf numFmtId="0" fontId="71" fillId="3" borderId="2" xfId="104" applyNumberFormat="1" applyFont="1" applyFill="1" applyBorder="1" applyAlignment="1" applyProtection="1">
      <alignment horizontal="left" vertical="center" wrapText="1"/>
    </xf>
    <xf numFmtId="0" fontId="71" fillId="3" borderId="3" xfId="104" applyNumberFormat="1" applyFont="1" applyFill="1" applyBorder="1" applyAlignment="1" applyProtection="1">
      <alignment horizontal="left" vertical="center" wrapText="1"/>
    </xf>
    <xf numFmtId="0" fontId="71" fillId="3" borderId="41" xfId="104" applyNumberFormat="1" applyFont="1" applyFill="1" applyBorder="1" applyAlignment="1" applyProtection="1">
      <alignment horizontal="left" vertical="center" wrapText="1"/>
    </xf>
    <xf numFmtId="0" fontId="71" fillId="3" borderId="42" xfId="104" applyNumberFormat="1" applyFont="1" applyFill="1" applyBorder="1" applyAlignment="1" applyProtection="1">
      <alignment horizontal="left" vertical="center" wrapText="1"/>
    </xf>
    <xf numFmtId="0" fontId="71" fillId="3" borderId="9" xfId="104" applyNumberFormat="1" applyFont="1" applyFill="1" applyBorder="1" applyAlignment="1" applyProtection="1">
      <alignment horizontal="center" vertical="center" wrapText="1"/>
    </xf>
    <xf numFmtId="0" fontId="71" fillId="3" borderId="50" xfId="104" applyNumberFormat="1" applyFont="1" applyFill="1" applyBorder="1" applyAlignment="1" applyProtection="1">
      <alignment horizontal="center" vertical="center" wrapText="1"/>
    </xf>
    <xf numFmtId="0" fontId="71" fillId="3" borderId="12" xfId="104" applyNumberFormat="1" applyFont="1" applyFill="1" applyBorder="1" applyAlignment="1" applyProtection="1">
      <alignment horizontal="center" vertical="center" wrapText="1"/>
    </xf>
    <xf numFmtId="0" fontId="71" fillId="3" borderId="11" xfId="104" applyNumberFormat="1" applyFont="1" applyFill="1" applyBorder="1" applyAlignment="1" applyProtection="1">
      <alignment horizontal="center" vertical="center" wrapText="1"/>
    </xf>
    <xf numFmtId="0" fontId="100" fillId="3" borderId="50" xfId="104" applyNumberFormat="1" applyFont="1" applyFill="1" applyBorder="1" applyAlignment="1" applyProtection="1">
      <alignment horizontal="center" vertical="center" wrapText="1"/>
    </xf>
    <xf numFmtId="0" fontId="100" fillId="3" borderId="51" xfId="104" applyNumberFormat="1" applyFont="1" applyFill="1" applyBorder="1" applyAlignment="1" applyProtection="1">
      <alignment horizontal="center" vertical="center" wrapText="1"/>
    </xf>
    <xf numFmtId="0" fontId="100" fillId="3" borderId="11" xfId="104" applyNumberFormat="1" applyFont="1" applyFill="1" applyBorder="1" applyAlignment="1" applyProtection="1">
      <alignment horizontal="center" vertical="center" wrapText="1"/>
    </xf>
    <xf numFmtId="0" fontId="71" fillId="3" borderId="52" xfId="104" applyNumberFormat="1" applyFont="1" applyFill="1" applyBorder="1" applyAlignment="1" applyProtection="1">
      <alignment horizontal="center" vertical="center" wrapText="1"/>
    </xf>
    <xf numFmtId="0" fontId="71" fillId="3" borderId="5" xfId="104" applyNumberFormat="1" applyFont="1" applyFill="1" applyBorder="1" applyAlignment="1" applyProtection="1">
      <alignment horizontal="center" vertical="center"/>
    </xf>
    <xf numFmtId="0" fontId="71" fillId="3" borderId="14" xfId="104" applyNumberFormat="1" applyFont="1" applyFill="1" applyBorder="1" applyAlignment="1" applyProtection="1">
      <alignment horizontal="center" vertical="center"/>
    </xf>
    <xf numFmtId="0" fontId="71" fillId="3" borderId="66" xfId="104" applyNumberFormat="1" applyFont="1" applyFill="1" applyBorder="1" applyAlignment="1" applyProtection="1">
      <alignment horizontal="center" vertical="center"/>
    </xf>
    <xf numFmtId="0" fontId="100" fillId="3" borderId="66" xfId="104" applyNumberFormat="1" applyFont="1" applyFill="1" applyBorder="1" applyAlignment="1" applyProtection="1">
      <alignment horizontal="center" vertical="center"/>
    </xf>
    <xf numFmtId="0" fontId="71" fillId="3" borderId="190" xfId="104" applyNumberFormat="1" applyFont="1" applyFill="1" applyBorder="1" applyAlignment="1" applyProtection="1">
      <alignment horizontal="center" vertical="center"/>
    </xf>
    <xf numFmtId="0" fontId="161" fillId="4" borderId="191" xfId="104" applyNumberFormat="1" applyFont="1" applyFill="1" applyBorder="1" applyAlignment="1" applyProtection="1">
      <alignment horizontal="center" vertical="center"/>
    </xf>
    <xf numFmtId="0" fontId="161" fillId="4" borderId="60" xfId="104" applyNumberFormat="1" applyFont="1" applyFill="1" applyBorder="1" applyAlignment="1" applyProtection="1">
      <alignment horizontal="center" vertical="center"/>
    </xf>
    <xf numFmtId="0" fontId="100" fillId="4" borderId="60" xfId="104" applyNumberFormat="1" applyFont="1" applyFill="1" applyBorder="1" applyAlignment="1" applyProtection="1">
      <alignment horizontal="center" vertical="center"/>
    </xf>
    <xf numFmtId="0" fontId="70" fillId="4" borderId="32" xfId="104" applyNumberFormat="1" applyFont="1" applyFill="1" applyBorder="1" applyAlignment="1" applyProtection="1">
      <alignment horizontal="center" vertical="center"/>
    </xf>
    <xf numFmtId="0" fontId="70" fillId="4" borderId="33" xfId="104" applyNumberFormat="1" applyFont="1" applyFill="1" applyBorder="1" applyAlignment="1" applyProtection="1">
      <alignment horizontal="left" vertical="center" wrapText="1"/>
    </xf>
    <xf numFmtId="0" fontId="70" fillId="4" borderId="59" xfId="104" applyNumberFormat="1" applyFont="1" applyFill="1" applyBorder="1" applyAlignment="1" applyProtection="1">
      <alignment horizontal="left" vertical="center"/>
    </xf>
    <xf numFmtId="3" fontId="70" fillId="4" borderId="60" xfId="104" applyNumberFormat="1" applyFont="1" applyFill="1" applyBorder="1" applyAlignment="1" applyProtection="1">
      <alignment horizontal="right" vertical="center"/>
    </xf>
    <xf numFmtId="0" fontId="70" fillId="4" borderId="60" xfId="104" applyNumberFormat="1" applyFont="1" applyFill="1" applyBorder="1" applyAlignment="1" applyProtection="1">
      <alignment horizontal="right" vertical="center"/>
    </xf>
    <xf numFmtId="3" fontId="26" fillId="4" borderId="60" xfId="104" applyNumberFormat="1" applyFont="1" applyFill="1" applyBorder="1" applyAlignment="1" applyProtection="1">
      <alignment horizontal="right" vertical="center"/>
    </xf>
    <xf numFmtId="165" fontId="26" fillId="4" borderId="60" xfId="77" applyNumberFormat="1" applyFont="1" applyFill="1" applyBorder="1" applyAlignment="1" applyProtection="1">
      <alignment horizontal="right" vertical="center"/>
    </xf>
    <xf numFmtId="0" fontId="26" fillId="4" borderId="60" xfId="104" applyNumberFormat="1" applyFont="1" applyFill="1" applyBorder="1" applyAlignment="1" applyProtection="1">
      <alignment horizontal="right" vertical="center"/>
    </xf>
    <xf numFmtId="165" fontId="70" fillId="5" borderId="60" xfId="78" applyNumberFormat="1" applyFont="1" applyFill="1" applyBorder="1" applyAlignment="1" applyProtection="1">
      <alignment horizontal="right" vertical="center" wrapText="1"/>
    </xf>
    <xf numFmtId="0" fontId="70" fillId="4" borderId="59" xfId="104" applyNumberFormat="1" applyFont="1" applyFill="1" applyBorder="1" applyAlignment="1" applyProtection="1">
      <alignment horizontal="left" vertical="center" wrapText="1"/>
    </xf>
    <xf numFmtId="3" fontId="162" fillId="4" borderId="60" xfId="104" applyNumberFormat="1" applyFont="1" applyFill="1" applyBorder="1" applyAlignment="1" applyProtection="1">
      <alignment horizontal="right" vertical="center"/>
    </xf>
    <xf numFmtId="165" fontId="26" fillId="4" borderId="60" xfId="104" applyNumberFormat="1" applyFont="1" applyFill="1" applyBorder="1" applyAlignment="1" applyProtection="1">
      <alignment horizontal="right" vertical="center"/>
    </xf>
    <xf numFmtId="43" fontId="26" fillId="4" borderId="60" xfId="104" applyNumberFormat="1" applyFont="1" applyFill="1" applyBorder="1" applyAlignment="1" applyProtection="1">
      <alignment horizontal="right" vertical="center"/>
    </xf>
    <xf numFmtId="167" fontId="26" fillId="4" borderId="60" xfId="104" applyNumberFormat="1" applyFont="1" applyFill="1" applyBorder="1" applyAlignment="1" applyProtection="1">
      <alignment horizontal="right" vertical="center"/>
    </xf>
    <xf numFmtId="1" fontId="26" fillId="4" borderId="60" xfId="104" applyNumberFormat="1" applyFont="1" applyFill="1" applyBorder="1" applyAlignment="1" applyProtection="1">
      <alignment horizontal="right" vertical="center"/>
    </xf>
    <xf numFmtId="171" fontId="26" fillId="4" borderId="60" xfId="104" applyNumberFormat="1" applyFont="1" applyFill="1" applyBorder="1" applyAlignment="1" applyProtection="1">
      <alignment horizontal="right" vertical="center"/>
    </xf>
    <xf numFmtId="2" fontId="26" fillId="4" borderId="60" xfId="104" applyNumberFormat="1" applyFont="1" applyFill="1" applyBorder="1" applyAlignment="1" applyProtection="1">
      <alignment horizontal="right" vertical="center"/>
    </xf>
    <xf numFmtId="165" fontId="100" fillId="4" borderId="60" xfId="77" applyNumberFormat="1" applyFont="1" applyFill="1" applyBorder="1" applyAlignment="1" applyProtection="1">
      <alignment horizontal="right" vertical="center"/>
    </xf>
    <xf numFmtId="3" fontId="100" fillId="4" borderId="60" xfId="104" applyNumberFormat="1" applyFont="1" applyFill="1" applyBorder="1" applyAlignment="1" applyProtection="1">
      <alignment horizontal="center" vertical="center"/>
    </xf>
    <xf numFmtId="0" fontId="70" fillId="2" borderId="32" xfId="104" applyNumberFormat="1" applyFont="1" applyFill="1" applyBorder="1" applyAlignment="1" applyProtection="1">
      <alignment horizontal="center" vertical="center" wrapText="1"/>
    </xf>
    <xf numFmtId="0" fontId="70" fillId="2" borderId="33" xfId="104" applyNumberFormat="1" applyFont="1" applyFill="1" applyBorder="1" applyAlignment="1" applyProtection="1">
      <alignment horizontal="left" vertical="center" wrapText="1"/>
    </xf>
    <xf numFmtId="0" fontId="70" fillId="2" borderId="59" xfId="104" applyNumberFormat="1" applyFont="1" applyFill="1" applyBorder="1" applyAlignment="1" applyProtection="1">
      <alignment horizontal="left" vertical="center" wrapText="1"/>
    </xf>
    <xf numFmtId="0" fontId="70" fillId="2" borderId="60" xfId="104" applyNumberFormat="1" applyFont="1" applyFill="1" applyBorder="1" applyAlignment="1" applyProtection="1">
      <alignment horizontal="right" vertical="center" wrapText="1"/>
    </xf>
    <xf numFmtId="3" fontId="70" fillId="2" borderId="60" xfId="104" applyNumberFormat="1" applyFont="1" applyFill="1" applyBorder="1" applyAlignment="1" applyProtection="1">
      <alignment horizontal="right" vertical="center" wrapText="1"/>
    </xf>
    <xf numFmtId="3" fontId="26" fillId="2" borderId="60" xfId="104" applyNumberFormat="1" applyFont="1" applyFill="1" applyBorder="1" applyAlignment="1" applyProtection="1">
      <alignment horizontal="right" vertical="center" wrapText="1"/>
    </xf>
    <xf numFmtId="0" fontId="26" fillId="2" borderId="60" xfId="104" applyNumberFormat="1" applyFont="1" applyFill="1" applyBorder="1" applyAlignment="1" applyProtection="1">
      <alignment horizontal="right" vertical="center" wrapText="1"/>
    </xf>
    <xf numFmtId="3" fontId="100" fillId="2" borderId="60" xfId="104" applyNumberFormat="1" applyFont="1" applyFill="1" applyBorder="1" applyAlignment="1" applyProtection="1">
      <alignment horizontal="right" vertical="center" wrapText="1"/>
    </xf>
    <xf numFmtId="0" fontId="18" fillId="4" borderId="1" xfId="114" applyNumberFormat="1" applyFont="1" applyFill="1" applyBorder="1" applyAlignment="1" applyProtection="1">
      <alignment wrapText="1"/>
      <protection locked="0"/>
    </xf>
    <xf numFmtId="0" fontId="163" fillId="4" borderId="1" xfId="114" applyNumberFormat="1" applyFont="1" applyFill="1" applyBorder="1" applyAlignment="1" applyProtection="1">
      <alignment horizontal="left" vertical="top"/>
    </xf>
    <xf numFmtId="0" fontId="149" fillId="3" borderId="2" xfId="114" applyNumberFormat="1" applyFont="1" applyFill="1" applyBorder="1" applyAlignment="1" applyProtection="1">
      <alignment horizontal="left" vertical="center" wrapText="1"/>
    </xf>
    <xf numFmtId="0" fontId="149" fillId="3" borderId="3" xfId="114" applyNumberFormat="1" applyFont="1" applyFill="1" applyBorder="1" applyAlignment="1" applyProtection="1">
      <alignment horizontal="left" vertical="center" wrapText="1"/>
    </xf>
    <xf numFmtId="0" fontId="149" fillId="3" borderId="41" xfId="114" applyNumberFormat="1" applyFont="1" applyFill="1" applyBorder="1" applyAlignment="1" applyProtection="1">
      <alignment horizontal="left" vertical="center" wrapText="1"/>
    </xf>
    <xf numFmtId="0" fontId="149" fillId="3" borderId="42" xfId="114" applyNumberFormat="1" applyFont="1" applyFill="1" applyBorder="1" applyAlignment="1" applyProtection="1">
      <alignment horizontal="left" vertical="center" wrapText="1"/>
    </xf>
    <xf numFmtId="0" fontId="149" fillId="3" borderId="9" xfId="114" applyNumberFormat="1" applyFont="1" applyFill="1" applyBorder="1" applyAlignment="1" applyProtection="1">
      <alignment horizontal="center" vertical="center" wrapText="1"/>
    </xf>
    <xf numFmtId="0" fontId="149" fillId="3" borderId="50" xfId="114" applyNumberFormat="1" applyFont="1" applyFill="1" applyBorder="1" applyAlignment="1" applyProtection="1">
      <alignment horizontal="center" vertical="center" wrapText="1"/>
    </xf>
    <xf numFmtId="0" fontId="149" fillId="3" borderId="12" xfId="114" applyNumberFormat="1" applyFont="1" applyFill="1" applyBorder="1" applyAlignment="1" applyProtection="1">
      <alignment horizontal="center" vertical="center" wrapText="1"/>
    </xf>
    <xf numFmtId="0" fontId="149" fillId="3" borderId="11" xfId="114" applyNumberFormat="1" applyFont="1" applyFill="1" applyBorder="1" applyAlignment="1" applyProtection="1">
      <alignment horizontal="center" vertical="center" wrapText="1"/>
    </xf>
    <xf numFmtId="0" fontId="149" fillId="3" borderId="51" xfId="114" applyNumberFormat="1" applyFont="1" applyFill="1" applyBorder="1" applyAlignment="1" applyProtection="1">
      <alignment horizontal="center" vertical="center" wrapText="1"/>
    </xf>
    <xf numFmtId="0" fontId="149" fillId="3" borderId="52" xfId="114" applyNumberFormat="1" applyFont="1" applyFill="1" applyBorder="1" applyAlignment="1" applyProtection="1">
      <alignment horizontal="center" vertical="center" wrapText="1"/>
    </xf>
    <xf numFmtId="0" fontId="149" fillId="3" borderId="5" xfId="114" applyNumberFormat="1" applyFont="1" applyFill="1" applyBorder="1" applyAlignment="1" applyProtection="1">
      <alignment horizontal="center" vertical="center"/>
    </xf>
    <xf numFmtId="0" fontId="149" fillId="3" borderId="14" xfId="114" applyNumberFormat="1" applyFont="1" applyFill="1" applyBorder="1" applyAlignment="1" applyProtection="1">
      <alignment horizontal="center" vertical="center"/>
    </xf>
    <xf numFmtId="0" fontId="149" fillId="3" borderId="15" xfId="114" applyNumberFormat="1" applyFont="1" applyFill="1" applyBorder="1" applyAlignment="1" applyProtection="1">
      <alignment horizontal="center" vertical="center"/>
    </xf>
    <xf numFmtId="0" fontId="164" fillId="4" borderId="17" xfId="114" applyNumberFormat="1" applyFont="1" applyFill="1" applyBorder="1" applyAlignment="1" applyProtection="1">
      <alignment horizontal="center" vertical="center"/>
    </xf>
    <xf numFmtId="0" fontId="164" fillId="4" borderId="18" xfId="114" applyNumberFormat="1" applyFont="1" applyFill="1" applyBorder="1" applyAlignment="1" applyProtection="1">
      <alignment horizontal="center" vertical="center"/>
    </xf>
    <xf numFmtId="0" fontId="164" fillId="4" borderId="19" xfId="114" applyNumberFormat="1" applyFont="1" applyFill="1" applyBorder="1" applyAlignment="1" applyProtection="1">
      <alignment horizontal="center" vertical="center"/>
    </xf>
    <xf numFmtId="165" fontId="164" fillId="4" borderId="17" xfId="77" applyNumberFormat="1" applyFont="1" applyFill="1" applyBorder="1" applyAlignment="1" applyProtection="1">
      <alignment horizontal="center" vertical="center"/>
    </xf>
    <xf numFmtId="165" fontId="164" fillId="4" borderId="18" xfId="77" applyNumberFormat="1" applyFont="1" applyFill="1" applyBorder="1" applyAlignment="1" applyProtection="1">
      <alignment horizontal="center" vertical="center"/>
    </xf>
    <xf numFmtId="165" fontId="164" fillId="4" borderId="19" xfId="77" applyNumberFormat="1" applyFont="1" applyFill="1" applyBorder="1" applyAlignment="1" applyProtection="1">
      <alignment horizontal="center" vertical="center"/>
    </xf>
    <xf numFmtId="0" fontId="164" fillId="4" borderId="53" xfId="114" applyNumberFormat="1" applyFont="1" applyFill="1" applyBorder="1" applyAlignment="1" applyProtection="1">
      <alignment horizontal="center" vertical="center"/>
    </xf>
    <xf numFmtId="0" fontId="163" fillId="4" borderId="32" xfId="114" applyNumberFormat="1" applyFont="1" applyFill="1" applyBorder="1" applyAlignment="1" applyProtection="1">
      <alignment horizontal="center" vertical="center"/>
    </xf>
    <xf numFmtId="0" fontId="163" fillId="4" borderId="33" xfId="114" applyNumberFormat="1" applyFont="1" applyFill="1" applyBorder="1" applyAlignment="1" applyProtection="1">
      <alignment horizontal="left" vertical="center" wrapText="1"/>
    </xf>
    <xf numFmtId="3" fontId="163" fillId="4" borderId="33" xfId="114" applyNumberFormat="1" applyFont="1" applyFill="1" applyBorder="1" applyAlignment="1" applyProtection="1">
      <alignment horizontal="right" vertical="center"/>
    </xf>
    <xf numFmtId="0" fontId="163" fillId="4" borderId="33" xfId="114" applyNumberFormat="1" applyFont="1" applyFill="1" applyBorder="1" applyAlignment="1" applyProtection="1">
      <alignment horizontal="right" vertical="center"/>
    </xf>
    <xf numFmtId="165" fontId="163" fillId="4" borderId="33" xfId="77" applyNumberFormat="1" applyFont="1" applyFill="1" applyBorder="1" applyAlignment="1" applyProtection="1">
      <alignment horizontal="right" vertical="center"/>
    </xf>
    <xf numFmtId="165" fontId="163" fillId="4" borderId="33" xfId="114" applyNumberFormat="1" applyFont="1" applyFill="1" applyBorder="1" applyAlignment="1" applyProtection="1">
      <alignment horizontal="right" vertical="center"/>
    </xf>
    <xf numFmtId="165" fontId="163" fillId="4" borderId="6" xfId="114" applyNumberFormat="1" applyFont="1" applyFill="1" applyBorder="1" applyAlignment="1" applyProtection="1">
      <alignment horizontal="right" vertical="center" wrapText="1"/>
    </xf>
    <xf numFmtId="0" fontId="163" fillId="4" borderId="33" xfId="114" applyNumberFormat="1" applyFont="1" applyFill="1" applyBorder="1" applyAlignment="1" applyProtection="1">
      <alignment horizontal="left" vertical="center"/>
    </xf>
    <xf numFmtId="43" fontId="163" fillId="4" borderId="33" xfId="114" applyNumberFormat="1" applyFont="1" applyFill="1" applyBorder="1" applyAlignment="1" applyProtection="1">
      <alignment horizontal="right" vertical="center"/>
    </xf>
    <xf numFmtId="0" fontId="18" fillId="4" borderId="1" xfId="23" applyNumberFormat="1" applyFont="1" applyFill="1" applyBorder="1" applyAlignment="1" applyProtection="1">
      <alignment wrapText="1"/>
      <protection locked="0"/>
    </xf>
    <xf numFmtId="3" fontId="155" fillId="4" borderId="33" xfId="114" applyNumberFormat="1" applyFont="1" applyFill="1" applyBorder="1" applyAlignment="1" applyProtection="1">
      <alignment horizontal="right" vertical="center"/>
    </xf>
    <xf numFmtId="165" fontId="155" fillId="4" borderId="33" xfId="77" applyNumberFormat="1" applyFont="1" applyFill="1" applyBorder="1" applyAlignment="1" applyProtection="1">
      <alignment horizontal="right" vertical="center"/>
    </xf>
    <xf numFmtId="0" fontId="68" fillId="4" borderId="0" xfId="0" applyFont="1" applyFill="1" applyAlignment="1" applyProtection="1">
      <alignment wrapText="1"/>
      <protection locked="0"/>
    </xf>
    <xf numFmtId="0" fontId="98" fillId="4" borderId="1" xfId="0" applyFont="1" applyFill="1" applyBorder="1" applyAlignment="1">
      <alignment horizontal="left" vertical="top"/>
    </xf>
    <xf numFmtId="0" fontId="68" fillId="4" borderId="0" xfId="0" applyFont="1" applyFill="1"/>
    <xf numFmtId="0" fontId="63" fillId="4" borderId="0" xfId="0" applyFont="1" applyFill="1" applyAlignment="1" applyProtection="1">
      <alignment wrapText="1"/>
      <protection locked="0"/>
    </xf>
    <xf numFmtId="0" fontId="63" fillId="4" borderId="0" xfId="0" applyFont="1" applyFill="1"/>
    <xf numFmtId="0" fontId="63" fillId="4" borderId="1" xfId="11" applyNumberFormat="1" applyFont="1" applyFill="1" applyBorder="1" applyAlignment="1" applyProtection="1">
      <alignment wrapText="1"/>
      <protection locked="0"/>
    </xf>
    <xf numFmtId="0" fontId="63" fillId="0" borderId="0" xfId="0" applyFont="1"/>
    <xf numFmtId="0" fontId="63" fillId="4" borderId="1" xfId="0" applyNumberFormat="1" applyFont="1" applyFill="1" applyBorder="1" applyAlignment="1" applyProtection="1">
      <alignment wrapText="1"/>
      <protection locked="0"/>
    </xf>
    <xf numFmtId="0" fontId="68" fillId="4" borderId="1" xfId="20" applyNumberFormat="1" applyFont="1" applyFill="1" applyBorder="1" applyAlignment="1" applyProtection="1">
      <alignment wrapText="1"/>
      <protection locked="0"/>
    </xf>
    <xf numFmtId="0" fontId="98" fillId="4" borderId="1" xfId="20" applyNumberFormat="1" applyFont="1" applyFill="1" applyBorder="1" applyAlignment="1" applyProtection="1">
      <alignment horizontal="left" vertical="top"/>
    </xf>
    <xf numFmtId="0" fontId="68" fillId="5" borderId="1" xfId="20" applyNumberFormat="1" applyFont="1" applyFill="1" applyBorder="1" applyAlignment="1" applyProtection="1">
      <alignment wrapText="1"/>
      <protection locked="0"/>
    </xf>
    <xf numFmtId="0" fontId="152" fillId="4" borderId="1" xfId="0" applyNumberFormat="1" applyFont="1" applyFill="1" applyBorder="1" applyAlignment="1" applyProtection="1">
      <alignment vertical="center"/>
    </xf>
    <xf numFmtId="0" fontId="14" fillId="4" borderId="1" xfId="0" applyNumberFormat="1" applyFont="1" applyFill="1" applyBorder="1" applyAlignment="1" applyProtection="1">
      <alignment horizontal="left" vertical="center" wrapText="1"/>
    </xf>
    <xf numFmtId="0" fontId="156" fillId="4" borderId="1" xfId="0" applyNumberFormat="1" applyFont="1" applyFill="1" applyBorder="1" applyAlignment="1" applyProtection="1">
      <alignment horizontal="left" vertical="center"/>
    </xf>
    <xf numFmtId="0" fontId="160" fillId="4" borderId="1" xfId="0" applyNumberFormat="1" applyFont="1" applyFill="1" applyBorder="1" applyAlignment="1" applyProtection="1">
      <alignment horizontal="left" vertical="center"/>
    </xf>
    <xf numFmtId="9" fontId="22" fillId="4" borderId="33" xfId="85" applyFont="1" applyFill="1" applyBorder="1" applyAlignment="1" applyProtection="1">
      <alignment horizontal="right" vertical="center"/>
    </xf>
    <xf numFmtId="165" fontId="43" fillId="4" borderId="6" xfId="78" applyNumberFormat="1" applyFont="1" applyFill="1" applyBorder="1" applyAlignment="1" applyProtection="1">
      <alignment horizontal="right" vertical="center"/>
    </xf>
    <xf numFmtId="0" fontId="35" fillId="4" borderId="60" xfId="0" applyFont="1" applyFill="1" applyBorder="1" applyAlignment="1">
      <alignment horizontal="left" vertical="center"/>
    </xf>
    <xf numFmtId="0" fontId="35" fillId="3" borderId="2" xfId="0" applyNumberFormat="1" applyFont="1" applyFill="1" applyBorder="1" applyAlignment="1" applyProtection="1">
      <alignment horizontal="left" vertical="center" wrapText="1"/>
    </xf>
    <xf numFmtId="0" fontId="35" fillId="3" borderId="48" xfId="0" applyNumberFormat="1" applyFont="1" applyFill="1" applyBorder="1" applyAlignment="1" applyProtection="1">
      <alignment horizontal="center" vertical="center" wrapText="1"/>
    </xf>
    <xf numFmtId="0" fontId="35" fillId="3" borderId="41" xfId="0" applyNumberFormat="1" applyFont="1" applyFill="1" applyBorder="1" applyAlignment="1" applyProtection="1">
      <alignment horizontal="left" vertical="center" wrapText="1"/>
    </xf>
    <xf numFmtId="0" fontId="35" fillId="3" borderId="9" xfId="0" applyNumberFormat="1" applyFont="1" applyFill="1" applyBorder="1" applyAlignment="1" applyProtection="1">
      <alignment horizontal="center" vertical="center" wrapText="1"/>
    </xf>
    <xf numFmtId="0" fontId="35" fillId="3" borderId="51" xfId="0" applyNumberFormat="1" applyFont="1" applyFill="1" applyBorder="1" applyAlignment="1" applyProtection="1">
      <alignment horizontal="center" vertical="center" wrapText="1"/>
    </xf>
    <xf numFmtId="0" fontId="35" fillId="3" borderId="11" xfId="0" applyNumberFormat="1" applyFont="1" applyFill="1" applyBorder="1" applyAlignment="1" applyProtection="1">
      <alignment horizontal="center" vertical="center" wrapText="1"/>
    </xf>
    <xf numFmtId="0" fontId="35" fillId="3" borderId="50" xfId="0" applyNumberFormat="1" applyFont="1" applyFill="1" applyBorder="1" applyAlignment="1" applyProtection="1">
      <alignment horizontal="center" vertical="center" wrapText="1"/>
    </xf>
    <xf numFmtId="0" fontId="35" fillId="3" borderId="52" xfId="0" applyNumberFormat="1" applyFont="1" applyFill="1" applyBorder="1" applyAlignment="1" applyProtection="1">
      <alignment horizontal="center" vertical="center" wrapText="1"/>
    </xf>
    <xf numFmtId="0" fontId="35" fillId="3" borderId="5" xfId="0" applyNumberFormat="1" applyFont="1" applyFill="1" applyBorder="1" applyAlignment="1" applyProtection="1">
      <alignment horizontal="center" vertical="center"/>
    </xf>
    <xf numFmtId="0" fontId="35" fillId="3" borderId="14" xfId="0" applyNumberFormat="1" applyFont="1" applyFill="1" applyBorder="1" applyAlignment="1" applyProtection="1">
      <alignment horizontal="center" vertical="center"/>
    </xf>
    <xf numFmtId="0" fontId="35" fillId="5" borderId="14" xfId="0" applyNumberFormat="1" applyFont="1" applyFill="1" applyBorder="1" applyAlignment="1" applyProtection="1">
      <alignment horizontal="center" vertical="center"/>
    </xf>
    <xf numFmtId="0" fontId="35" fillId="3" borderId="15" xfId="0" applyNumberFormat="1" applyFont="1" applyFill="1" applyBorder="1" applyAlignment="1" applyProtection="1">
      <alignment horizontal="center" vertical="center"/>
    </xf>
    <xf numFmtId="0" fontId="46" fillId="4" borderId="32" xfId="4" applyNumberFormat="1" applyFont="1" applyFill="1" applyBorder="1" applyAlignment="1" applyProtection="1">
      <alignment horizontal="center" vertical="center"/>
    </xf>
    <xf numFmtId="0" fontId="46" fillId="4" borderId="33" xfId="4" applyNumberFormat="1" applyFont="1" applyFill="1" applyBorder="1" applyAlignment="1" applyProtection="1">
      <alignment horizontal="left" vertical="center" wrapText="1"/>
    </xf>
    <xf numFmtId="0" fontId="46" fillId="4" borderId="33" xfId="4" applyNumberFormat="1" applyFont="1" applyFill="1" applyBorder="1" applyAlignment="1" applyProtection="1">
      <alignment horizontal="left" vertical="center"/>
    </xf>
    <xf numFmtId="3" fontId="46" fillId="4" borderId="33" xfId="0" applyNumberFormat="1" applyFont="1" applyFill="1" applyBorder="1" applyAlignment="1" applyProtection="1">
      <alignment horizontal="right" vertical="center"/>
    </xf>
    <xf numFmtId="3" fontId="46" fillId="5" borderId="33" xfId="0" applyNumberFormat="1" applyFont="1" applyFill="1" applyBorder="1" applyAlignment="1" applyProtection="1">
      <alignment horizontal="right" vertical="center"/>
    </xf>
    <xf numFmtId="0" fontId="46" fillId="5" borderId="33" xfId="0" applyNumberFormat="1" applyFont="1" applyFill="1" applyBorder="1" applyAlignment="1" applyProtection="1">
      <alignment horizontal="right" vertical="center"/>
    </xf>
    <xf numFmtId="3" fontId="46" fillId="4" borderId="6" xfId="0" applyNumberFormat="1" applyFont="1" applyFill="1" applyBorder="1" applyAlignment="1" applyProtection="1">
      <alignment horizontal="right" vertical="center" wrapText="1"/>
    </xf>
    <xf numFmtId="165" fontId="68" fillId="4" borderId="1" xfId="77" applyNumberFormat="1" applyFont="1"/>
    <xf numFmtId="0" fontId="46" fillId="4" borderId="32" xfId="0" applyNumberFormat="1" applyFont="1" applyFill="1" applyBorder="1" applyAlignment="1" applyProtection="1">
      <alignment horizontal="center" vertical="center"/>
    </xf>
    <xf numFmtId="0" fontId="46" fillId="4" borderId="33" xfId="0" applyNumberFormat="1" applyFont="1" applyFill="1" applyBorder="1" applyAlignment="1" applyProtection="1">
      <alignment horizontal="left" vertical="center" wrapText="1"/>
    </xf>
    <xf numFmtId="0" fontId="35" fillId="5" borderId="33" xfId="0" applyNumberFormat="1" applyFont="1" applyFill="1" applyBorder="1" applyAlignment="1" applyProtection="1">
      <alignment horizontal="right" vertical="center"/>
    </xf>
    <xf numFmtId="165" fontId="68" fillId="0" borderId="0" xfId="0" applyNumberFormat="1" applyFont="1"/>
    <xf numFmtId="3" fontId="35" fillId="4" borderId="33" xfId="0" applyNumberFormat="1" applyFont="1" applyFill="1" applyBorder="1" applyAlignment="1" applyProtection="1">
      <alignment horizontal="right" vertical="center"/>
    </xf>
    <xf numFmtId="0" fontId="46" fillId="2" borderId="33" xfId="0" applyNumberFormat="1" applyFont="1" applyFill="1" applyBorder="1" applyAlignment="1" applyProtection="1">
      <alignment horizontal="right" vertical="center" wrapText="1"/>
    </xf>
    <xf numFmtId="0" fontId="46" fillId="2" borderId="65" xfId="0" applyNumberFormat="1" applyFont="1" applyFill="1" applyBorder="1" applyAlignment="1" applyProtection="1">
      <alignment horizontal="center" vertical="center"/>
    </xf>
    <xf numFmtId="0" fontId="46" fillId="5" borderId="33" xfId="0" applyNumberFormat="1" applyFont="1" applyFill="1" applyBorder="1" applyAlignment="1" applyProtection="1">
      <alignment horizontal="right" vertical="center" wrapText="1"/>
    </xf>
    <xf numFmtId="3" fontId="46" fillId="5" borderId="33" xfId="0" applyNumberFormat="1" applyFont="1" applyFill="1" applyBorder="1" applyAlignment="1" applyProtection="1">
      <alignment horizontal="right" vertical="center" wrapText="1"/>
    </xf>
    <xf numFmtId="0" fontId="46" fillId="2" borderId="32" xfId="0" applyNumberFormat="1" applyFont="1" applyFill="1" applyBorder="1" applyAlignment="1" applyProtection="1">
      <alignment horizontal="center" vertical="center" wrapText="1"/>
    </xf>
    <xf numFmtId="0" fontId="46" fillId="2" borderId="66" xfId="0" applyNumberFormat="1" applyFont="1" applyFill="1" applyBorder="1" applyAlignment="1" applyProtection="1">
      <alignment horizontal="left" vertical="center" wrapText="1"/>
    </xf>
    <xf numFmtId="0" fontId="46" fillId="2" borderId="66" xfId="0" applyNumberFormat="1" applyFont="1" applyFill="1" applyBorder="1" applyAlignment="1" applyProtection="1">
      <alignment horizontal="right" vertical="center" wrapText="1"/>
    </xf>
    <xf numFmtId="3" fontId="46" fillId="5" borderId="66" xfId="0" applyNumberFormat="1" applyFont="1" applyFill="1" applyBorder="1" applyAlignment="1" applyProtection="1">
      <alignment horizontal="right" vertical="center" wrapText="1"/>
    </xf>
    <xf numFmtId="0" fontId="46" fillId="2" borderId="190" xfId="0" applyNumberFormat="1" applyFont="1" applyFill="1" applyBorder="1" applyAlignment="1" applyProtection="1">
      <alignment horizontal="right" vertical="center" wrapText="1"/>
    </xf>
    <xf numFmtId="0" fontId="98" fillId="4" borderId="46" xfId="20" applyNumberFormat="1" applyFont="1" applyFill="1" applyBorder="1" applyAlignment="1" applyProtection="1">
      <alignment vertical="top"/>
    </xf>
    <xf numFmtId="0" fontId="98" fillId="4" borderId="60" xfId="20" applyNumberFormat="1" applyFont="1" applyFill="1" applyBorder="1" applyAlignment="1" applyProtection="1">
      <alignment vertical="top"/>
    </xf>
    <xf numFmtId="3" fontId="98" fillId="5" borderId="60" xfId="20" applyNumberFormat="1" applyFont="1" applyFill="1" applyBorder="1" applyAlignment="1" applyProtection="1">
      <alignment vertical="top"/>
    </xf>
    <xf numFmtId="3" fontId="166" fillId="5" borderId="60" xfId="20" applyNumberFormat="1" applyFont="1" applyFill="1" applyBorder="1" applyAlignment="1" applyProtection="1">
      <alignment vertical="top"/>
    </xf>
    <xf numFmtId="3" fontId="167" fillId="5" borderId="60" xfId="20" applyNumberFormat="1" applyFont="1" applyFill="1" applyBorder="1" applyAlignment="1" applyProtection="1">
      <alignment vertical="top"/>
    </xf>
    <xf numFmtId="3" fontId="98" fillId="4" borderId="60" xfId="20" applyNumberFormat="1" applyFont="1" applyFill="1" applyBorder="1" applyAlignment="1" applyProtection="1">
      <alignment vertical="top"/>
    </xf>
    <xf numFmtId="0" fontId="68" fillId="5" borderId="0" xfId="0" applyFont="1" applyFill="1"/>
    <xf numFmtId="0" fontId="89" fillId="11" borderId="127" xfId="0" applyFont="1" applyFill="1" applyBorder="1" applyAlignment="1">
      <alignment horizontal="center" vertical="center" wrapText="1"/>
    </xf>
    <xf numFmtId="0" fontId="89" fillId="11" borderId="130" xfId="0" applyFont="1" applyFill="1" applyBorder="1" applyAlignment="1">
      <alignment horizontal="center" vertical="center" wrapText="1"/>
    </xf>
    <xf numFmtId="0" fontId="89" fillId="11" borderId="133" xfId="0" applyFont="1" applyFill="1" applyBorder="1" applyAlignment="1">
      <alignment horizontal="center" vertical="center" wrapText="1"/>
    </xf>
    <xf numFmtId="0" fontId="89" fillId="11" borderId="128" xfId="0" applyFont="1" applyFill="1" applyBorder="1" applyAlignment="1">
      <alignment horizontal="center" vertical="center" wrapText="1"/>
    </xf>
    <xf numFmtId="0" fontId="89" fillId="11" borderId="164" xfId="0" applyFont="1" applyFill="1" applyBorder="1" applyAlignment="1">
      <alignment horizontal="center" vertical="center" wrapText="1"/>
    </xf>
    <xf numFmtId="0" fontId="91" fillId="11" borderId="136" xfId="0" applyFont="1" applyFill="1" applyBorder="1" applyAlignment="1">
      <alignment horizontal="center" vertical="center" wrapText="1"/>
    </xf>
    <xf numFmtId="0" fontId="91" fillId="11" borderId="137" xfId="0" applyFont="1" applyFill="1" applyBorder="1" applyAlignment="1">
      <alignment horizontal="center" vertical="center" wrapText="1"/>
    </xf>
    <xf numFmtId="0" fontId="91" fillId="11" borderId="143" xfId="0" applyFont="1" applyFill="1" applyBorder="1" applyAlignment="1">
      <alignment horizontal="center" vertical="center" wrapText="1"/>
    </xf>
    <xf numFmtId="0" fontId="91" fillId="11" borderId="144" xfId="0" applyFont="1" applyFill="1" applyBorder="1" applyAlignment="1">
      <alignment horizontal="center" vertical="center" wrapText="1"/>
    </xf>
    <xf numFmtId="0" fontId="0" fillId="0" borderId="117" xfId="0" applyBorder="1" applyAlignment="1">
      <alignment horizontal="center"/>
    </xf>
    <xf numFmtId="0" fontId="0" fillId="0" borderId="134" xfId="0" applyBorder="1" applyAlignment="1">
      <alignment horizontal="center"/>
    </xf>
    <xf numFmtId="0" fontId="81" fillId="7" borderId="127" xfId="88" applyFont="1" applyFill="1" applyBorder="1" applyAlignment="1">
      <alignment horizontal="center" vertical="center" wrapText="1"/>
    </xf>
    <xf numFmtId="0" fontId="81" fillId="7" borderId="117" xfId="88" applyFont="1" applyFill="1" applyBorder="1" applyAlignment="1">
      <alignment horizontal="center" vertical="center" wrapText="1"/>
    </xf>
    <xf numFmtId="0" fontId="81" fillId="7" borderId="125" xfId="88" applyFont="1" applyFill="1" applyBorder="1" applyAlignment="1">
      <alignment horizontal="center" vertical="center" wrapText="1"/>
    </xf>
    <xf numFmtId="0" fontId="80" fillId="6" borderId="127" xfId="88" applyFont="1" applyFill="1" applyBorder="1" applyAlignment="1">
      <alignment horizontal="center" vertical="center" wrapText="1"/>
    </xf>
    <xf numFmtId="0" fontId="80" fillId="6" borderId="129" xfId="88" applyFont="1" applyFill="1" applyBorder="1" applyAlignment="1">
      <alignment horizontal="center" vertical="center" wrapText="1"/>
    </xf>
    <xf numFmtId="0" fontId="80" fillId="6" borderId="130" xfId="88" applyFont="1" applyFill="1" applyBorder="1" applyAlignment="1">
      <alignment horizontal="center" vertical="center" wrapText="1"/>
    </xf>
    <xf numFmtId="0" fontId="80" fillId="6" borderId="125" xfId="88" applyFont="1" applyFill="1" applyBorder="1" applyAlignment="1">
      <alignment horizontal="center" vertical="center" wrapText="1"/>
    </xf>
    <xf numFmtId="0" fontId="80" fillId="8" borderId="127" xfId="88" applyFont="1" applyFill="1" applyBorder="1" applyAlignment="1">
      <alignment horizontal="center" vertical="center" wrapText="1"/>
    </xf>
    <xf numFmtId="0" fontId="80" fillId="8" borderId="129" xfId="88" applyFont="1" applyFill="1" applyBorder="1" applyAlignment="1">
      <alignment horizontal="center" vertical="center" wrapText="1"/>
    </xf>
    <xf numFmtId="0" fontId="80" fillId="8" borderId="130" xfId="88" applyFont="1" applyFill="1" applyBorder="1" applyAlignment="1">
      <alignment horizontal="center" vertical="center" wrapText="1"/>
    </xf>
    <xf numFmtId="0" fontId="35" fillId="4" borderId="1" xfId="0" applyNumberFormat="1" applyFont="1" applyFill="1" applyBorder="1" applyAlignment="1" applyProtection="1">
      <alignment horizontal="center" vertical="top"/>
    </xf>
    <xf numFmtId="0" fontId="105" fillId="4" borderId="1" xfId="0" applyNumberFormat="1" applyFont="1" applyFill="1" applyBorder="1" applyAlignment="1" applyProtection="1">
      <alignment horizontal="left" vertical="center"/>
    </xf>
    <xf numFmtId="0" fontId="42" fillId="4" borderId="1" xfId="0" applyNumberFormat="1" applyFont="1" applyFill="1" applyBorder="1" applyAlignment="1" applyProtection="1">
      <alignment horizontal="left" vertical="top"/>
    </xf>
    <xf numFmtId="0" fontId="105" fillId="4" borderId="192" xfId="0" applyNumberFormat="1" applyFont="1" applyFill="1" applyBorder="1" applyAlignment="1" applyProtection="1">
      <alignment horizontal="right" vertical="center"/>
    </xf>
    <xf numFmtId="0" fontId="68" fillId="2" borderId="32" xfId="0" applyNumberFormat="1" applyFont="1" applyFill="1" applyBorder="1" applyAlignment="1" applyProtection="1">
      <alignment horizontal="center" vertical="center"/>
    </xf>
    <xf numFmtId="0" fontId="68" fillId="3" borderId="34" xfId="0" applyNumberFormat="1" applyFont="1" applyFill="1" applyBorder="1" applyAlignment="1" applyProtection="1">
      <alignment horizontal="left" vertical="top"/>
    </xf>
    <xf numFmtId="0" fontId="68" fillId="4" borderId="24" xfId="0" applyNumberFormat="1" applyFont="1" applyFill="1" applyBorder="1" applyAlignment="1" applyProtection="1">
      <alignment horizontal="center" vertical="center"/>
    </xf>
    <xf numFmtId="0" fontId="102" fillId="4" borderId="27" xfId="0" applyNumberFormat="1" applyFont="1" applyFill="1" applyBorder="1" applyAlignment="1" applyProtection="1">
      <alignment horizontal="center" vertical="center"/>
    </xf>
    <xf numFmtId="0" fontId="68" fillId="4" borderId="21" xfId="0" applyNumberFormat="1" applyFont="1" applyFill="1" applyBorder="1" applyAlignment="1" applyProtection="1">
      <alignment horizontal="center" vertical="center"/>
    </xf>
    <xf numFmtId="0" fontId="68" fillId="4" borderId="24" xfId="73" applyNumberFormat="1" applyFont="1" applyFill="1" applyBorder="1" applyAlignment="1" applyProtection="1">
      <alignment horizontal="center" vertical="center"/>
    </xf>
    <xf numFmtId="0" fontId="151" fillId="3" borderId="7" xfId="0" applyNumberFormat="1" applyFont="1" applyFill="1" applyBorder="1" applyAlignment="1" applyProtection="1">
      <alignment horizontal="center" vertical="center"/>
    </xf>
    <xf numFmtId="0" fontId="151" fillId="3" borderId="7" xfId="0" applyNumberFormat="1" applyFont="1" applyFill="1" applyBorder="1" applyAlignment="1" applyProtection="1">
      <alignment horizontal="center" vertical="center" wrapText="1"/>
    </xf>
    <xf numFmtId="0" fontId="151" fillId="3" borderId="8" xfId="0" applyNumberFormat="1" applyFont="1" applyFill="1" applyBorder="1" applyAlignment="1" applyProtection="1">
      <alignment horizontal="center" vertical="center" wrapText="1"/>
    </xf>
    <xf numFmtId="0" fontId="102" fillId="4" borderId="1" xfId="0" applyNumberFormat="1" applyFont="1" applyFill="1" applyBorder="1" applyAlignment="1" applyProtection="1">
      <alignment horizontal="center" vertical="top"/>
    </xf>
    <xf numFmtId="0" fontId="102" fillId="4" borderId="1" xfId="0" applyNumberFormat="1" applyFont="1" applyFill="1" applyBorder="1" applyAlignment="1" applyProtection="1">
      <alignment horizontal="left" vertical="center"/>
    </xf>
    <xf numFmtId="0" fontId="102" fillId="4" borderId="1" xfId="0" applyNumberFormat="1" applyFont="1" applyFill="1" applyBorder="1" applyAlignment="1" applyProtection="1">
      <alignment horizontal="right" vertical="center"/>
    </xf>
    <xf numFmtId="0" fontId="71" fillId="3" borderId="2" xfId="0" applyNumberFormat="1" applyFont="1" applyFill="1" applyBorder="1" applyAlignment="1" applyProtection="1">
      <alignment horizontal="center" vertical="center" wrapText="1"/>
    </xf>
    <xf numFmtId="0" fontId="71" fillId="3" borderId="64" xfId="0" applyNumberFormat="1" applyFont="1" applyFill="1" applyBorder="1" applyAlignment="1" applyProtection="1">
      <alignment horizontal="center" vertical="center"/>
    </xf>
    <xf numFmtId="0" fontId="71" fillId="3" borderId="3" xfId="0" applyNumberFormat="1" applyFont="1" applyFill="1" applyBorder="1" applyAlignment="1" applyProtection="1">
      <alignment horizontal="center" vertical="center"/>
    </xf>
    <xf numFmtId="0" fontId="71" fillId="3" borderId="4" xfId="0" applyNumberFormat="1" applyFont="1" applyFill="1" applyBorder="1" applyAlignment="1" applyProtection="1">
      <alignment horizontal="left" vertical="center"/>
    </xf>
    <xf numFmtId="0" fontId="151" fillId="3" borderId="6" xfId="0" applyNumberFormat="1" applyFont="1" applyFill="1" applyBorder="1" applyAlignment="1" applyProtection="1">
      <alignment horizontal="center" vertical="center" wrapText="1"/>
    </xf>
    <xf numFmtId="0" fontId="102" fillId="4" borderId="16" xfId="0" applyNumberFormat="1" applyFont="1" applyFill="1" applyBorder="1" applyAlignment="1" applyProtection="1">
      <alignment horizontal="center" vertical="center"/>
    </xf>
    <xf numFmtId="0" fontId="149" fillId="3" borderId="5" xfId="0" applyNumberFormat="1" applyFont="1" applyFill="1" applyBorder="1" applyAlignment="1" applyProtection="1">
      <alignment horizontal="center" vertical="center"/>
    </xf>
    <xf numFmtId="0" fontId="150" fillId="3" borderId="6" xfId="0" applyNumberFormat="1" applyFont="1" applyFill="1" applyBorder="1" applyAlignment="1" applyProtection="1">
      <alignment horizontal="center" vertical="center"/>
    </xf>
    <xf numFmtId="0" fontId="65" fillId="4" borderId="1" xfId="0" applyNumberFormat="1" applyFont="1" applyFill="1" applyBorder="1" applyAlignment="1" applyProtection="1">
      <alignment horizontal="left" vertical="center"/>
    </xf>
    <xf numFmtId="0" fontId="146" fillId="13" borderId="133" xfId="0" applyFont="1" applyFill="1" applyBorder="1" applyAlignment="1">
      <alignment horizontal="center" vertical="center"/>
    </xf>
    <xf numFmtId="0" fontId="146" fillId="13" borderId="128" xfId="0" applyFont="1" applyFill="1" applyBorder="1" applyAlignment="1">
      <alignment horizontal="center" vertical="center"/>
    </xf>
    <xf numFmtId="0" fontId="146" fillId="13" borderId="164" xfId="0" applyFont="1" applyFill="1" applyBorder="1" applyAlignment="1">
      <alignment horizontal="center" vertical="center"/>
    </xf>
    <xf numFmtId="0" fontId="41" fillId="4" borderId="1" xfId="0" applyNumberFormat="1" applyFont="1" applyFill="1" applyBorder="1" applyAlignment="1" applyProtection="1">
      <alignment horizontal="center" vertical="top"/>
    </xf>
    <xf numFmtId="0" fontId="65" fillId="4" borderId="1" xfId="0" applyNumberFormat="1" applyFont="1" applyFill="1" applyBorder="1" applyAlignment="1" applyProtection="1">
      <alignment horizontal="right" vertical="center"/>
    </xf>
    <xf numFmtId="0" fontId="42" fillId="4" borderId="1" xfId="7" applyNumberFormat="1" applyFont="1" applyFill="1" applyBorder="1" applyAlignment="1" applyProtection="1">
      <alignment horizontal="left" vertical="top"/>
    </xf>
    <xf numFmtId="0" fontId="66" fillId="4" borderId="37" xfId="0" applyNumberFormat="1" applyFont="1" applyFill="1" applyBorder="1" applyAlignment="1" applyProtection="1">
      <alignment horizontal="center" vertical="center" wrapText="1"/>
    </xf>
    <xf numFmtId="0" fontId="66" fillId="4" borderId="38" xfId="0" applyNumberFormat="1" applyFont="1" applyFill="1" applyBorder="1" applyAlignment="1" applyProtection="1">
      <alignment horizontal="center" vertical="center" wrapText="1"/>
    </xf>
    <xf numFmtId="0" fontId="66" fillId="4" borderId="38" xfId="0" applyNumberFormat="1" applyFont="1" applyFill="1" applyBorder="1" applyAlignment="1" applyProtection="1">
      <alignment horizontal="center" vertical="center"/>
    </xf>
    <xf numFmtId="0" fontId="66" fillId="4" borderId="39" xfId="0" applyNumberFormat="1" applyFont="1" applyFill="1" applyBorder="1" applyAlignment="1" applyProtection="1">
      <alignment horizontal="center" vertical="center"/>
    </xf>
    <xf numFmtId="0" fontId="32" fillId="0" borderId="60" xfId="0" applyFont="1" applyBorder="1" applyAlignment="1">
      <alignment horizontal="center" wrapText="1"/>
    </xf>
    <xf numFmtId="0" fontId="20" fillId="4" borderId="121" xfId="0" applyNumberFormat="1" applyFont="1" applyFill="1" applyBorder="1" applyAlignment="1" applyProtection="1">
      <alignment horizontal="center" vertical="center" wrapText="1"/>
    </xf>
    <xf numFmtId="0" fontId="20" fillId="4" borderId="122" xfId="0" applyNumberFormat="1" applyFont="1" applyFill="1" applyBorder="1" applyAlignment="1" applyProtection="1">
      <alignment horizontal="center" vertical="center" wrapText="1"/>
    </xf>
    <xf numFmtId="0" fontId="105" fillId="4" borderId="1" xfId="0" applyNumberFormat="1" applyFont="1" applyFill="1" applyBorder="1" applyAlignment="1" applyProtection="1">
      <alignment horizontal="right" vertical="center"/>
    </xf>
    <xf numFmtId="0" fontId="45" fillId="4" borderId="1" xfId="10" applyNumberFormat="1" applyFont="1" applyFill="1" applyBorder="1" applyAlignment="1" applyProtection="1">
      <alignment horizontal="left" vertical="top"/>
    </xf>
    <xf numFmtId="0" fontId="35" fillId="3" borderId="2" xfId="0" applyNumberFormat="1" applyFont="1" applyFill="1" applyBorder="1" applyAlignment="1" applyProtection="1">
      <alignment horizontal="left" vertical="center"/>
    </xf>
    <xf numFmtId="0" fontId="35" fillId="3" borderId="3" xfId="0" applyNumberFormat="1" applyFont="1" applyFill="1" applyBorder="1" applyAlignment="1" applyProtection="1">
      <alignment horizontal="center" vertical="center"/>
    </xf>
    <xf numFmtId="165" fontId="35" fillId="3" borderId="3" xfId="77" applyNumberFormat="1" applyFont="1" applyFill="1" applyBorder="1" applyAlignment="1" applyProtection="1">
      <alignment horizontal="left" vertical="center"/>
    </xf>
    <xf numFmtId="165" fontId="35" fillId="3" borderId="4" xfId="77" applyNumberFormat="1" applyFont="1" applyFill="1" applyBorder="1" applyAlignment="1" applyProtection="1">
      <alignment horizontal="center" vertical="center"/>
    </xf>
    <xf numFmtId="0" fontId="35" fillId="3" borderId="42" xfId="0" applyNumberFormat="1" applyFont="1" applyFill="1" applyBorder="1" applyAlignment="1" applyProtection="1">
      <alignment horizontal="center" vertical="center"/>
    </xf>
    <xf numFmtId="165" fontId="35" fillId="3" borderId="42" xfId="77" applyNumberFormat="1" applyFont="1" applyFill="1" applyBorder="1" applyAlignment="1" applyProtection="1">
      <alignment horizontal="left" vertical="center"/>
    </xf>
    <xf numFmtId="165" fontId="35" fillId="3" borderId="43" xfId="77" applyNumberFormat="1" applyFont="1" applyFill="1" applyBorder="1" applyAlignment="1" applyProtection="1">
      <alignment horizontal="center" vertical="center"/>
    </xf>
    <xf numFmtId="0" fontId="35" fillId="3" borderId="5" xfId="0" applyNumberFormat="1" applyFont="1" applyFill="1" applyBorder="1" applyAlignment="1" applyProtection="1">
      <alignment horizontal="center" vertical="center"/>
    </xf>
    <xf numFmtId="165" fontId="35" fillId="3" borderId="6" xfId="77" applyNumberFormat="1" applyFont="1" applyFill="1" applyBorder="1" applyAlignment="1" applyProtection="1">
      <alignment horizontal="center" vertical="center"/>
    </xf>
    <xf numFmtId="165" fontId="35" fillId="3" borderId="7" xfId="77" applyNumberFormat="1" applyFont="1" applyFill="1" applyBorder="1" applyAlignment="1" applyProtection="1">
      <alignment horizontal="center" vertical="center"/>
    </xf>
    <xf numFmtId="165" fontId="35" fillId="3" borderId="8" xfId="77" applyNumberFormat="1" applyFont="1" applyFill="1" applyBorder="1" applyAlignment="1" applyProtection="1">
      <alignment horizontal="center" vertical="center" wrapText="1"/>
    </xf>
    <xf numFmtId="165" fontId="35" fillId="3" borderId="6" xfId="77" applyNumberFormat="1" applyFont="1" applyFill="1" applyBorder="1" applyAlignment="1" applyProtection="1">
      <alignment horizontal="center" vertical="center" wrapText="1"/>
    </xf>
    <xf numFmtId="0" fontId="35" fillId="4" borderId="16" xfId="0" applyNumberFormat="1" applyFont="1" applyFill="1" applyBorder="1" applyAlignment="1" applyProtection="1">
      <alignment horizontal="center" vertical="center"/>
    </xf>
    <xf numFmtId="0" fontId="35" fillId="4" borderId="27" xfId="0" applyNumberFormat="1" applyFont="1" applyFill="1" applyBorder="1" applyAlignment="1" applyProtection="1">
      <alignment horizontal="center" vertical="center"/>
    </xf>
    <xf numFmtId="0" fontId="152" fillId="4" borderId="162" xfId="0" applyNumberFormat="1" applyFont="1" applyFill="1" applyBorder="1" applyAlignment="1" applyProtection="1">
      <alignment horizontal="center" vertical="center"/>
    </xf>
    <xf numFmtId="0" fontId="152" fillId="4" borderId="163" xfId="0" applyNumberFormat="1" applyFont="1" applyFill="1" applyBorder="1" applyAlignment="1" applyProtection="1">
      <alignment horizontal="center" vertical="center"/>
    </xf>
    <xf numFmtId="0" fontId="152" fillId="4" borderId="160" xfId="0" applyNumberFormat="1" applyFont="1" applyFill="1" applyBorder="1" applyAlignment="1" applyProtection="1">
      <alignment horizontal="center" vertical="center"/>
    </xf>
    <xf numFmtId="0" fontId="152" fillId="4" borderId="161" xfId="0" applyNumberFormat="1" applyFont="1" applyFill="1" applyBorder="1" applyAlignment="1" applyProtection="1">
      <alignment horizontal="center" vertical="center"/>
    </xf>
    <xf numFmtId="0" fontId="152" fillId="4" borderId="1" xfId="0" applyNumberFormat="1" applyFont="1" applyFill="1" applyBorder="1" applyAlignment="1" applyProtection="1">
      <alignment horizontal="center" vertical="top"/>
    </xf>
    <xf numFmtId="0" fontId="152" fillId="4" borderId="1" xfId="0" applyNumberFormat="1" applyFont="1" applyFill="1" applyBorder="1" applyAlignment="1" applyProtection="1">
      <alignment horizontal="left" vertical="center"/>
    </xf>
    <xf numFmtId="0" fontId="152" fillId="4" borderId="1" xfId="0" applyNumberFormat="1" applyFont="1" applyFill="1" applyBorder="1" applyAlignment="1" applyProtection="1">
      <alignment horizontal="right" vertical="center"/>
    </xf>
    <xf numFmtId="0" fontId="147" fillId="4" borderId="1" xfId="0" applyNumberFormat="1" applyFont="1" applyFill="1" applyBorder="1" applyAlignment="1" applyProtection="1">
      <alignment horizontal="left" vertical="top"/>
    </xf>
    <xf numFmtId="0" fontId="152" fillId="3" borderId="115" xfId="0" applyNumberFormat="1" applyFont="1" applyFill="1" applyBorder="1" applyAlignment="1" applyProtection="1">
      <alignment horizontal="left" vertical="center"/>
    </xf>
    <xf numFmtId="0" fontId="152" fillId="3" borderId="159" xfId="0" applyNumberFormat="1" applyFont="1" applyFill="1" applyBorder="1" applyAlignment="1" applyProtection="1">
      <alignment horizontal="left" vertical="center"/>
    </xf>
    <xf numFmtId="0" fontId="152" fillId="3" borderId="81" xfId="0" applyNumberFormat="1" applyFont="1" applyFill="1" applyBorder="1" applyAlignment="1" applyProtection="1">
      <alignment horizontal="center" vertical="center"/>
    </xf>
    <xf numFmtId="0" fontId="152" fillId="3" borderId="71" xfId="0" applyNumberFormat="1" applyFont="1" applyFill="1" applyBorder="1" applyAlignment="1" applyProtection="1">
      <alignment horizontal="center" vertical="center"/>
    </xf>
    <xf numFmtId="0" fontId="152" fillId="3" borderId="81" xfId="0" applyNumberFormat="1" applyFont="1" applyFill="1" applyBorder="1" applyAlignment="1" applyProtection="1">
      <alignment horizontal="left" vertical="center"/>
    </xf>
    <xf numFmtId="0" fontId="152" fillId="3" borderId="71" xfId="0" applyNumberFormat="1" applyFont="1" applyFill="1" applyBorder="1" applyAlignment="1" applyProtection="1">
      <alignment horizontal="left" vertical="center"/>
    </xf>
    <xf numFmtId="0" fontId="152" fillId="3" borderId="116" xfId="0" applyNumberFormat="1" applyFont="1" applyFill="1" applyBorder="1" applyAlignment="1" applyProtection="1">
      <alignment horizontal="center" vertical="center"/>
    </xf>
    <xf numFmtId="0" fontId="152" fillId="3" borderId="158" xfId="0" applyNumberFormat="1" applyFont="1" applyFill="1" applyBorder="1" applyAlignment="1" applyProtection="1">
      <alignment horizontal="center" vertical="center"/>
    </xf>
    <xf numFmtId="0" fontId="152" fillId="3" borderId="156" xfId="0" applyNumberFormat="1" applyFont="1" applyFill="1" applyBorder="1" applyAlignment="1" applyProtection="1">
      <alignment horizontal="center" vertical="center"/>
    </xf>
    <xf numFmtId="0" fontId="152" fillId="3" borderId="156" xfId="0" applyNumberFormat="1" applyFont="1" applyFill="1" applyBorder="1" applyAlignment="1" applyProtection="1">
      <alignment horizontal="left" vertical="center"/>
    </xf>
    <xf numFmtId="0" fontId="152" fillId="3" borderId="157" xfId="0" applyNumberFormat="1" applyFont="1" applyFill="1" applyBorder="1" applyAlignment="1" applyProtection="1">
      <alignment horizontal="center" vertical="center"/>
    </xf>
    <xf numFmtId="0" fontId="152" fillId="3" borderId="152" xfId="0" applyNumberFormat="1" applyFont="1" applyFill="1" applyBorder="1" applyAlignment="1" applyProtection="1">
      <alignment horizontal="center" vertical="center"/>
    </xf>
    <xf numFmtId="0" fontId="152" fillId="3" borderId="147" xfId="0" applyNumberFormat="1" applyFont="1" applyFill="1" applyBorder="1" applyAlignment="1" applyProtection="1">
      <alignment horizontal="center" vertical="center"/>
    </xf>
    <xf numFmtId="0" fontId="152" fillId="3" borderId="117" xfId="0" applyNumberFormat="1" applyFont="1" applyFill="1" applyBorder="1" applyAlignment="1" applyProtection="1">
      <alignment horizontal="center" vertical="center"/>
    </xf>
    <xf numFmtId="0" fontId="152" fillId="3" borderId="153" xfId="0" applyNumberFormat="1" applyFont="1" applyFill="1" applyBorder="1" applyAlignment="1" applyProtection="1">
      <alignment horizontal="center" vertical="center"/>
    </xf>
    <xf numFmtId="0" fontId="152" fillId="3" borderId="154" xfId="0" applyNumberFormat="1" applyFont="1" applyFill="1" applyBorder="1" applyAlignment="1" applyProtection="1">
      <alignment horizontal="center" vertical="center"/>
    </xf>
    <xf numFmtId="0" fontId="152" fillId="3" borderId="155" xfId="0" applyNumberFormat="1" applyFont="1" applyFill="1" applyBorder="1" applyAlignment="1" applyProtection="1">
      <alignment horizontal="center" vertical="center"/>
    </xf>
    <xf numFmtId="0" fontId="152" fillId="3" borderId="59" xfId="0" applyNumberFormat="1" applyFont="1" applyFill="1" applyBorder="1" applyAlignment="1" applyProtection="1">
      <alignment horizontal="center" vertical="center"/>
    </xf>
    <xf numFmtId="0" fontId="152" fillId="3" borderId="150" xfId="0" applyNumberFormat="1" applyFont="1" applyFill="1" applyBorder="1" applyAlignment="1" applyProtection="1">
      <alignment horizontal="center" vertical="center"/>
    </xf>
    <xf numFmtId="0" fontId="152" fillId="3" borderId="151" xfId="0" applyNumberFormat="1" applyFont="1" applyFill="1" applyBorder="1" applyAlignment="1" applyProtection="1">
      <alignment horizontal="center" vertical="center"/>
    </xf>
    <xf numFmtId="0" fontId="152" fillId="3" borderId="148" xfId="0" applyNumberFormat="1" applyFont="1" applyFill="1" applyBorder="1" applyAlignment="1" applyProtection="1">
      <alignment horizontal="center" vertical="center"/>
    </xf>
    <xf numFmtId="0" fontId="152" fillId="3" borderId="149" xfId="0" applyNumberFormat="1" applyFont="1" applyFill="1" applyBorder="1" applyAlignment="1" applyProtection="1">
      <alignment horizontal="center" vertical="center"/>
    </xf>
    <xf numFmtId="0" fontId="152" fillId="3" borderId="147" xfId="0" applyNumberFormat="1" applyFont="1" applyFill="1" applyBorder="1" applyAlignment="1" applyProtection="1">
      <alignment horizontal="center" vertical="center" wrapText="1"/>
    </xf>
    <xf numFmtId="0" fontId="152" fillId="3" borderId="10" xfId="0" applyNumberFormat="1" applyFont="1" applyFill="1" applyBorder="1" applyAlignment="1" applyProtection="1">
      <alignment horizontal="center" vertical="center" wrapText="1"/>
    </xf>
    <xf numFmtId="0" fontId="152" fillId="3" borderId="110" xfId="0" applyNumberFormat="1" applyFont="1" applyFill="1" applyBorder="1" applyAlignment="1" applyProtection="1">
      <alignment horizontal="center" vertical="center" wrapText="1"/>
    </xf>
    <xf numFmtId="0" fontId="152" fillId="3" borderId="79" xfId="0" applyNumberFormat="1" applyFont="1" applyFill="1" applyBorder="1" applyAlignment="1" applyProtection="1">
      <alignment horizontal="center" vertical="center" wrapText="1"/>
    </xf>
    <xf numFmtId="0" fontId="19" fillId="4" borderId="8" xfId="0" applyNumberFormat="1" applyFont="1" applyFill="1" applyBorder="1" applyAlignment="1" applyProtection="1">
      <alignment horizontal="center" vertical="center" wrapText="1"/>
    </xf>
    <xf numFmtId="0" fontId="19" fillId="4" borderId="16" xfId="0" applyNumberFormat="1" applyFont="1" applyFill="1" applyBorder="1" applyAlignment="1" applyProtection="1">
      <alignment horizontal="center" vertical="center"/>
    </xf>
    <xf numFmtId="0" fontId="19" fillId="4" borderId="27" xfId="0" applyNumberFormat="1" applyFont="1" applyFill="1" applyBorder="1" applyAlignment="1" applyProtection="1">
      <alignment horizontal="center" vertical="center"/>
    </xf>
    <xf numFmtId="0" fontId="7" fillId="4" borderId="46" xfId="11" applyNumberFormat="1" applyFont="1" applyFill="1" applyBorder="1" applyAlignment="1" applyProtection="1">
      <alignment horizontal="left" vertical="top"/>
    </xf>
    <xf numFmtId="0" fontId="19" fillId="4" borderId="8" xfId="0" applyNumberFormat="1" applyFont="1" applyFill="1" applyBorder="1" applyAlignment="1" applyProtection="1">
      <alignment horizontal="center" vertical="center"/>
    </xf>
    <xf numFmtId="0" fontId="19" fillId="4" borderId="57" xfId="0" applyNumberFormat="1" applyFont="1" applyFill="1" applyBorder="1" applyAlignment="1" applyProtection="1">
      <alignment horizontal="center"/>
    </xf>
    <xf numFmtId="0" fontId="19" fillId="4" borderId="42" xfId="0" applyNumberFormat="1" applyFont="1" applyFill="1" applyBorder="1" applyAlignment="1" applyProtection="1">
      <alignment horizontal="center"/>
    </xf>
    <xf numFmtId="0" fontId="19" fillId="4" borderId="58" xfId="0" applyNumberFormat="1" applyFont="1" applyFill="1" applyBorder="1" applyAlignment="1" applyProtection="1">
      <alignment horizontal="center"/>
    </xf>
    <xf numFmtId="0" fontId="10" fillId="4" borderId="57" xfId="0" applyNumberFormat="1" applyFont="1" applyFill="1" applyBorder="1" applyAlignment="1" applyProtection="1">
      <alignment horizontal="center" vertical="center"/>
    </xf>
    <xf numFmtId="0" fontId="10" fillId="4" borderId="42" xfId="0" applyNumberFormat="1" applyFont="1" applyFill="1" applyBorder="1" applyAlignment="1" applyProtection="1">
      <alignment horizontal="center" vertical="center"/>
    </xf>
    <xf numFmtId="0" fontId="10" fillId="4" borderId="58" xfId="0" applyNumberFormat="1" applyFont="1" applyFill="1" applyBorder="1" applyAlignment="1" applyProtection="1">
      <alignment horizontal="center" vertical="center"/>
    </xf>
    <xf numFmtId="0" fontId="25" fillId="4" borderId="1" xfId="11" applyNumberFormat="1" applyFont="1" applyFill="1" applyBorder="1" applyAlignment="1" applyProtection="1">
      <alignment horizontal="left" vertical="top"/>
    </xf>
    <xf numFmtId="0" fontId="5" fillId="3" borderId="42" xfId="0" applyNumberFormat="1" applyFont="1" applyFill="1" applyBorder="1" applyAlignment="1" applyProtection="1">
      <alignment horizontal="center" vertical="center"/>
    </xf>
    <xf numFmtId="0" fontId="5" fillId="3" borderId="42" xfId="0" applyNumberFormat="1" applyFont="1" applyFill="1" applyBorder="1" applyAlignment="1" applyProtection="1">
      <alignment horizontal="left" vertical="center"/>
    </xf>
    <xf numFmtId="0" fontId="5" fillId="3" borderId="43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5" fillId="3" borderId="6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 applyProtection="1">
      <alignment horizontal="center" vertical="top"/>
    </xf>
    <xf numFmtId="0" fontId="5" fillId="4" borderId="1" xfId="0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righ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0" fontId="5" fillId="3" borderId="3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left" vertical="center"/>
    </xf>
    <xf numFmtId="0" fontId="5" fillId="3" borderId="4" xfId="0" applyNumberFormat="1" applyFont="1" applyFill="1" applyBorder="1" applyAlignment="1" applyProtection="1">
      <alignment horizontal="center" vertical="center"/>
    </xf>
    <xf numFmtId="0" fontId="152" fillId="3" borderId="42" xfId="0" applyNumberFormat="1" applyFont="1" applyFill="1" applyBorder="1" applyAlignment="1" applyProtection="1">
      <alignment horizontal="center" vertical="center"/>
    </xf>
    <xf numFmtId="0" fontId="152" fillId="3" borderId="42" xfId="0" applyNumberFormat="1" applyFont="1" applyFill="1" applyBorder="1" applyAlignment="1" applyProtection="1">
      <alignment horizontal="left" vertical="center"/>
    </xf>
    <xf numFmtId="0" fontId="152" fillId="3" borderId="43" xfId="0" applyNumberFormat="1" applyFont="1" applyFill="1" applyBorder="1" applyAlignment="1" applyProtection="1">
      <alignment horizontal="center" vertical="center"/>
    </xf>
    <xf numFmtId="0" fontId="152" fillId="3" borderId="5" xfId="0" applyNumberFormat="1" applyFont="1" applyFill="1" applyBorder="1" applyAlignment="1" applyProtection="1">
      <alignment horizontal="center" vertical="center"/>
    </xf>
    <xf numFmtId="0" fontId="152" fillId="3" borderId="6" xfId="0" applyNumberFormat="1" applyFont="1" applyFill="1" applyBorder="1" applyAlignment="1" applyProtection="1">
      <alignment horizontal="center" vertical="center"/>
    </xf>
    <xf numFmtId="0" fontId="152" fillId="3" borderId="7" xfId="0" applyNumberFormat="1" applyFont="1" applyFill="1" applyBorder="1" applyAlignment="1" applyProtection="1">
      <alignment horizontal="center" vertical="center"/>
    </xf>
    <xf numFmtId="0" fontId="152" fillId="3" borderId="8" xfId="0" applyNumberFormat="1" applyFont="1" applyFill="1" applyBorder="1" applyAlignment="1" applyProtection="1">
      <alignment horizontal="center" vertical="center" wrapText="1"/>
    </xf>
    <xf numFmtId="0" fontId="152" fillId="3" borderId="6" xfId="0" applyNumberFormat="1" applyFont="1" applyFill="1" applyBorder="1" applyAlignment="1" applyProtection="1">
      <alignment horizontal="center" vertical="center" wrapText="1"/>
    </xf>
    <xf numFmtId="0" fontId="85" fillId="4" borderId="1" xfId="0" applyNumberFormat="1" applyFont="1" applyFill="1" applyBorder="1" applyAlignment="1" applyProtection="1">
      <alignment horizontal="center" vertical="top"/>
    </xf>
    <xf numFmtId="0" fontId="148" fillId="4" borderId="1" xfId="0" applyNumberFormat="1" applyFont="1" applyFill="1" applyBorder="1" applyAlignment="1" applyProtection="1">
      <alignment horizontal="left" vertical="center"/>
    </xf>
    <xf numFmtId="0" fontId="148" fillId="4" borderId="1" xfId="0" applyNumberFormat="1" applyFont="1" applyFill="1" applyBorder="1" applyAlignment="1" applyProtection="1">
      <alignment horizontal="right" vertical="center"/>
    </xf>
    <xf numFmtId="0" fontId="152" fillId="3" borderId="2" xfId="0" applyNumberFormat="1" applyFont="1" applyFill="1" applyBorder="1" applyAlignment="1" applyProtection="1">
      <alignment horizontal="left" vertical="center"/>
    </xf>
    <xf numFmtId="0" fontId="152" fillId="3" borderId="3" xfId="0" applyNumberFormat="1" applyFont="1" applyFill="1" applyBorder="1" applyAlignment="1" applyProtection="1">
      <alignment horizontal="center" vertical="center"/>
    </xf>
    <xf numFmtId="0" fontId="152" fillId="3" borderId="3" xfId="0" applyNumberFormat="1" applyFont="1" applyFill="1" applyBorder="1" applyAlignment="1" applyProtection="1">
      <alignment horizontal="left" vertical="center"/>
    </xf>
    <xf numFmtId="0" fontId="152" fillId="3" borderId="4" xfId="0" applyNumberFormat="1" applyFont="1" applyFill="1" applyBorder="1" applyAlignment="1" applyProtection="1">
      <alignment horizontal="center" vertical="center"/>
    </xf>
    <xf numFmtId="0" fontId="152" fillId="4" borderId="192" xfId="0" applyNumberFormat="1" applyFont="1" applyFill="1" applyBorder="1" applyAlignment="1" applyProtection="1">
      <alignment horizontal="right" vertical="center"/>
    </xf>
    <xf numFmtId="0" fontId="35" fillId="4" borderId="1" xfId="0" applyFont="1" applyFill="1" applyBorder="1" applyAlignment="1">
      <alignment horizontal="center" vertical="top"/>
    </xf>
    <xf numFmtId="0" fontId="105" fillId="4" borderId="1" xfId="0" applyFont="1" applyFill="1" applyBorder="1" applyAlignment="1">
      <alignment horizontal="left" vertical="center"/>
    </xf>
    <xf numFmtId="0" fontId="105" fillId="4" borderId="1" xfId="0" applyFont="1" applyFill="1" applyBorder="1" applyAlignment="1">
      <alignment horizontal="right" vertical="center"/>
    </xf>
    <xf numFmtId="0" fontId="45" fillId="4" borderId="1" xfId="0" applyFont="1" applyFill="1" applyBorder="1" applyAlignment="1">
      <alignment horizontal="left" vertical="top"/>
    </xf>
    <xf numFmtId="0" fontId="35" fillId="4" borderId="60" xfId="0" applyFont="1" applyFill="1" applyBorder="1" applyAlignment="1">
      <alignment horizontal="left" vertical="center"/>
    </xf>
    <xf numFmtId="0" fontId="35" fillId="4" borderId="60" xfId="0" applyFont="1" applyFill="1" applyBorder="1" applyAlignment="1">
      <alignment horizontal="center" vertical="center"/>
    </xf>
    <xf numFmtId="0" fontId="35" fillId="4" borderId="60" xfId="0" applyFont="1" applyFill="1" applyBorder="1" applyAlignment="1">
      <alignment horizontal="center" vertical="center" wrapText="1"/>
    </xf>
    <xf numFmtId="0" fontId="103" fillId="4" borderId="60" xfId="0" applyFont="1" applyFill="1" applyBorder="1" applyAlignment="1">
      <alignment horizontal="center" vertical="center"/>
    </xf>
    <xf numFmtId="0" fontId="101" fillId="4" borderId="60" xfId="0" applyFont="1" applyFill="1" applyBorder="1" applyAlignment="1">
      <alignment horizontal="center" vertical="center"/>
    </xf>
    <xf numFmtId="0" fontId="34" fillId="4" borderId="60" xfId="0" applyFont="1" applyFill="1" applyBorder="1" applyAlignment="1">
      <alignment horizontal="center" vertical="center"/>
    </xf>
    <xf numFmtId="0" fontId="34" fillId="4" borderId="60" xfId="0" applyFont="1" applyFill="1" applyBorder="1" applyAlignment="1">
      <alignment horizontal="center" vertical="center" wrapText="1"/>
    </xf>
    <xf numFmtId="0" fontId="102" fillId="4" borderId="1" xfId="113" applyNumberFormat="1" applyFont="1" applyFill="1" applyBorder="1" applyAlignment="1" applyProtection="1">
      <alignment horizontal="center" vertical="top"/>
    </xf>
    <xf numFmtId="0" fontId="102" fillId="4" borderId="1" xfId="113" applyNumberFormat="1" applyFont="1" applyFill="1" applyBorder="1" applyAlignment="1" applyProtection="1">
      <alignment horizontal="left" vertical="center"/>
    </xf>
    <xf numFmtId="0" fontId="102" fillId="4" borderId="1" xfId="113" applyNumberFormat="1" applyFont="1" applyFill="1" applyBorder="1" applyAlignment="1" applyProtection="1">
      <alignment horizontal="right" vertical="center"/>
    </xf>
    <xf numFmtId="0" fontId="102" fillId="3" borderId="42" xfId="113" applyNumberFormat="1" applyFont="1" applyFill="1" applyBorder="1" applyAlignment="1" applyProtection="1">
      <alignment horizontal="center" vertical="center"/>
    </xf>
    <xf numFmtId="0" fontId="102" fillId="3" borderId="42" xfId="113" applyNumberFormat="1" applyFont="1" applyFill="1" applyBorder="1" applyAlignment="1" applyProtection="1">
      <alignment horizontal="left" vertical="center"/>
    </xf>
    <xf numFmtId="0" fontId="102" fillId="3" borderId="43" xfId="113" applyNumberFormat="1" applyFont="1" applyFill="1" applyBorder="1" applyAlignment="1" applyProtection="1">
      <alignment horizontal="center" vertical="center"/>
    </xf>
    <xf numFmtId="0" fontId="102" fillId="4" borderId="16" xfId="113" applyNumberFormat="1" applyFont="1" applyFill="1" applyBorder="1" applyAlignment="1" applyProtection="1">
      <alignment horizontal="center" vertical="center"/>
    </xf>
    <xf numFmtId="0" fontId="102" fillId="4" borderId="27" xfId="113" applyNumberFormat="1" applyFont="1" applyFill="1" applyBorder="1" applyAlignment="1" applyProtection="1">
      <alignment horizontal="center" vertical="center"/>
    </xf>
    <xf numFmtId="0" fontId="68" fillId="4" borderId="46" xfId="113" applyNumberFormat="1" applyFont="1" applyFill="1" applyBorder="1" applyAlignment="1" applyProtection="1">
      <alignment horizontal="left" vertical="top"/>
    </xf>
    <xf numFmtId="0" fontId="68" fillId="4" borderId="1" xfId="113" applyNumberFormat="1" applyFont="1" applyFill="1" applyBorder="1" applyAlignment="1" applyProtection="1">
      <alignment horizontal="left" vertical="top"/>
    </xf>
    <xf numFmtId="0" fontId="102" fillId="3" borderId="188" xfId="113" applyNumberFormat="1" applyFont="1" applyFill="1" applyBorder="1" applyAlignment="1" applyProtection="1">
      <alignment horizontal="left" vertical="center"/>
    </xf>
    <xf numFmtId="0" fontId="102" fillId="3" borderId="189" xfId="113" applyNumberFormat="1" applyFont="1" applyFill="1" applyBorder="1" applyAlignment="1" applyProtection="1">
      <alignment horizontal="left" vertical="center"/>
    </xf>
    <xf numFmtId="0" fontId="102" fillId="3" borderId="3" xfId="113" applyNumberFormat="1" applyFont="1" applyFill="1" applyBorder="1" applyAlignment="1" applyProtection="1">
      <alignment horizontal="center" vertical="center"/>
    </xf>
    <xf numFmtId="0" fontId="102" fillId="3" borderId="3" xfId="113" applyNumberFormat="1" applyFont="1" applyFill="1" applyBorder="1" applyAlignment="1" applyProtection="1">
      <alignment horizontal="left" vertical="center"/>
    </xf>
    <xf numFmtId="0" fontId="102" fillId="3" borderId="4" xfId="113" applyNumberFormat="1" applyFont="1" applyFill="1" applyBorder="1" applyAlignment="1" applyProtection="1">
      <alignment horizontal="center" vertical="center"/>
    </xf>
    <xf numFmtId="0" fontId="102" fillId="3" borderId="5" xfId="113" applyNumberFormat="1" applyFont="1" applyFill="1" applyBorder="1" applyAlignment="1" applyProtection="1">
      <alignment horizontal="center" vertical="center"/>
    </xf>
    <xf numFmtId="0" fontId="102" fillId="3" borderId="6" xfId="113" applyNumberFormat="1" applyFont="1" applyFill="1" applyBorder="1" applyAlignment="1" applyProtection="1">
      <alignment horizontal="center" vertical="center"/>
    </xf>
    <xf numFmtId="0" fontId="102" fillId="3" borderId="7" xfId="113" applyNumberFormat="1" applyFont="1" applyFill="1" applyBorder="1" applyAlignment="1" applyProtection="1">
      <alignment horizontal="center" vertical="center"/>
    </xf>
    <xf numFmtId="0" fontId="102" fillId="3" borderId="8" xfId="113" applyNumberFormat="1" applyFont="1" applyFill="1" applyBorder="1" applyAlignment="1" applyProtection="1">
      <alignment horizontal="center" vertical="center" wrapText="1"/>
    </xf>
    <xf numFmtId="0" fontId="102" fillId="3" borderId="6" xfId="113" applyNumberFormat="1" applyFont="1" applyFill="1" applyBorder="1" applyAlignment="1" applyProtection="1">
      <alignment horizontal="center" vertical="center" wrapText="1"/>
    </xf>
    <xf numFmtId="0" fontId="102" fillId="3" borderId="119" xfId="113" applyNumberFormat="1" applyFont="1" applyFill="1" applyBorder="1" applyAlignment="1" applyProtection="1">
      <alignment horizontal="center" vertical="center"/>
    </xf>
    <xf numFmtId="0" fontId="102" fillId="3" borderId="120" xfId="113" applyNumberFormat="1" applyFont="1" applyFill="1" applyBorder="1" applyAlignment="1" applyProtection="1">
      <alignment horizontal="center" vertical="center"/>
    </xf>
    <xf numFmtId="0" fontId="153" fillId="4" borderId="1" xfId="10" applyNumberFormat="1" applyFont="1" applyFill="1" applyBorder="1" applyAlignment="1" applyProtection="1">
      <alignment horizontal="left" vertical="top"/>
    </xf>
    <xf numFmtId="0" fontId="102" fillId="4" borderId="16" xfId="10" applyNumberFormat="1" applyFont="1" applyFill="1" applyBorder="1" applyAlignment="1" applyProtection="1">
      <alignment horizontal="center" vertical="center"/>
    </xf>
    <xf numFmtId="0" fontId="102" fillId="4" borderId="27" xfId="10" applyNumberFormat="1" applyFont="1" applyFill="1" applyBorder="1" applyAlignment="1" applyProtection="1">
      <alignment horizontal="center" vertical="center"/>
    </xf>
    <xf numFmtId="0" fontId="151" fillId="3" borderId="6" xfId="10" applyNumberFormat="1" applyFont="1" applyFill="1" applyBorder="1" applyAlignment="1" applyProtection="1">
      <alignment horizontal="center" vertical="center" wrapText="1"/>
    </xf>
    <xf numFmtId="0" fontId="150" fillId="3" borderId="42" xfId="10" applyNumberFormat="1" applyFont="1" applyFill="1" applyBorder="1" applyAlignment="1" applyProtection="1">
      <alignment horizontal="center" vertical="center"/>
    </xf>
    <xf numFmtId="0" fontId="150" fillId="3" borderId="42" xfId="10" applyNumberFormat="1" applyFont="1" applyFill="1" applyBorder="1" applyAlignment="1" applyProtection="1">
      <alignment horizontal="left" vertical="center"/>
    </xf>
    <xf numFmtId="0" fontId="150" fillId="3" borderId="43" xfId="10" applyNumberFormat="1" applyFont="1" applyFill="1" applyBorder="1" applyAlignment="1" applyProtection="1">
      <alignment horizontal="center" vertical="center"/>
    </xf>
    <xf numFmtId="0" fontId="149" fillId="3" borderId="5" xfId="10" applyNumberFormat="1" applyFont="1" applyFill="1" applyBorder="1" applyAlignment="1" applyProtection="1">
      <alignment horizontal="center" vertical="center"/>
    </xf>
    <xf numFmtId="0" fontId="150" fillId="3" borderId="6" xfId="10" applyNumberFormat="1" applyFont="1" applyFill="1" applyBorder="1" applyAlignment="1" applyProtection="1">
      <alignment horizontal="center" vertical="center"/>
    </xf>
    <xf numFmtId="0" fontId="151" fillId="3" borderId="7" xfId="10" applyNumberFormat="1" applyFont="1" applyFill="1" applyBorder="1" applyAlignment="1" applyProtection="1">
      <alignment horizontal="center" vertical="center"/>
    </xf>
    <xf numFmtId="0" fontId="152" fillId="3" borderId="7" xfId="10" applyNumberFormat="1" applyFont="1" applyFill="1" applyBorder="1" applyAlignment="1" applyProtection="1">
      <alignment horizontal="center" vertical="center"/>
    </xf>
    <xf numFmtId="0" fontId="151" fillId="3" borderId="8" xfId="10" applyNumberFormat="1" applyFont="1" applyFill="1" applyBorder="1" applyAlignment="1" applyProtection="1">
      <alignment horizontal="center" vertical="center" wrapText="1"/>
    </xf>
    <xf numFmtId="0" fontId="149" fillId="4" borderId="1" xfId="10" applyNumberFormat="1" applyFont="1" applyFill="1" applyBorder="1" applyAlignment="1" applyProtection="1">
      <alignment horizontal="center" vertical="top"/>
    </xf>
    <xf numFmtId="0" fontId="150" fillId="4" borderId="1" xfId="10" applyNumberFormat="1" applyFont="1" applyFill="1" applyBorder="1" applyAlignment="1" applyProtection="1">
      <alignment horizontal="left" vertical="center"/>
    </xf>
    <xf numFmtId="0" fontId="150" fillId="4" borderId="1" xfId="10" applyNumberFormat="1" applyFont="1" applyFill="1" applyBorder="1" applyAlignment="1" applyProtection="1">
      <alignment horizontal="right" vertical="center"/>
    </xf>
    <xf numFmtId="0" fontId="150" fillId="3" borderId="2" xfId="10" applyNumberFormat="1" applyFont="1" applyFill="1" applyBorder="1" applyAlignment="1" applyProtection="1">
      <alignment horizontal="left" vertical="center"/>
    </xf>
    <xf numFmtId="0" fontId="150" fillId="3" borderId="3" xfId="10" applyNumberFormat="1" applyFont="1" applyFill="1" applyBorder="1" applyAlignment="1" applyProtection="1">
      <alignment horizontal="center" vertical="center"/>
    </xf>
    <xf numFmtId="0" fontId="150" fillId="3" borderId="3" xfId="10" applyNumberFormat="1" applyFont="1" applyFill="1" applyBorder="1" applyAlignment="1" applyProtection="1">
      <alignment horizontal="left" vertical="center"/>
    </xf>
    <xf numFmtId="0" fontId="150" fillId="3" borderId="4" xfId="10" applyNumberFormat="1" applyFont="1" applyFill="1" applyBorder="1" applyAlignment="1" applyProtection="1">
      <alignment horizontal="center" vertical="center"/>
    </xf>
    <xf numFmtId="0" fontId="45" fillId="4" borderId="1" xfId="0" applyNumberFormat="1" applyFont="1" applyFill="1" applyBorder="1" applyAlignment="1" applyProtection="1">
      <alignment horizontal="left" vertical="top"/>
    </xf>
    <xf numFmtId="0" fontId="101" fillId="3" borderId="2" xfId="0" applyNumberFormat="1" applyFont="1" applyFill="1" applyBorder="1" applyAlignment="1" applyProtection="1">
      <alignment horizontal="left" vertical="center"/>
    </xf>
    <xf numFmtId="0" fontId="101" fillId="3" borderId="3" xfId="0" applyNumberFormat="1" applyFont="1" applyFill="1" applyBorder="1" applyAlignment="1" applyProtection="1">
      <alignment horizontal="center" vertical="center"/>
    </xf>
    <xf numFmtId="0" fontId="101" fillId="3" borderId="3" xfId="0" applyNumberFormat="1" applyFont="1" applyFill="1" applyBorder="1" applyAlignment="1" applyProtection="1">
      <alignment horizontal="left" vertical="center"/>
    </xf>
    <xf numFmtId="0" fontId="101" fillId="3" borderId="4" xfId="0" applyNumberFormat="1" applyFont="1" applyFill="1" applyBorder="1" applyAlignment="1" applyProtection="1">
      <alignment horizontal="center" vertical="center"/>
    </xf>
    <xf numFmtId="0" fontId="101" fillId="3" borderId="42" xfId="0" applyNumberFormat="1" applyFont="1" applyFill="1" applyBorder="1" applyAlignment="1" applyProtection="1">
      <alignment horizontal="center" vertical="center"/>
    </xf>
    <xf numFmtId="0" fontId="101" fillId="3" borderId="42" xfId="0" applyNumberFormat="1" applyFont="1" applyFill="1" applyBorder="1" applyAlignment="1" applyProtection="1">
      <alignment horizontal="left" vertical="center"/>
    </xf>
    <xf numFmtId="0" fontId="101" fillId="3" borderId="43" xfId="0" applyNumberFormat="1" applyFont="1" applyFill="1" applyBorder="1" applyAlignment="1" applyProtection="1">
      <alignment horizontal="center" vertical="center"/>
    </xf>
    <xf numFmtId="0" fontId="103" fillId="3" borderId="5" xfId="0" applyNumberFormat="1" applyFont="1" applyFill="1" applyBorder="1" applyAlignment="1" applyProtection="1">
      <alignment horizontal="center" vertical="center"/>
    </xf>
    <xf numFmtId="0" fontId="101" fillId="3" borderId="6" xfId="0" applyNumberFormat="1" applyFont="1" applyFill="1" applyBorder="1" applyAlignment="1" applyProtection="1">
      <alignment horizontal="center" vertical="center"/>
    </xf>
    <xf numFmtId="0" fontId="34" fillId="3" borderId="7" xfId="0" applyNumberFormat="1" applyFont="1" applyFill="1" applyBorder="1" applyAlignment="1" applyProtection="1">
      <alignment horizontal="center" vertical="center"/>
    </xf>
    <xf numFmtId="0" fontId="34" fillId="3" borderId="8" xfId="0" applyNumberFormat="1" applyFont="1" applyFill="1" applyBorder="1" applyAlignment="1" applyProtection="1">
      <alignment horizontal="center" vertical="center" wrapText="1"/>
    </xf>
    <xf numFmtId="0" fontId="34" fillId="3" borderId="6" xfId="0" applyNumberFormat="1" applyFont="1" applyFill="1" applyBorder="1" applyAlignment="1" applyProtection="1">
      <alignment horizontal="center" vertical="center" wrapText="1"/>
    </xf>
    <xf numFmtId="0" fontId="154" fillId="4" borderId="1" xfId="0" applyNumberFormat="1" applyFont="1" applyFill="1" applyBorder="1" applyAlignment="1" applyProtection="1">
      <alignment horizontal="left" vertical="top"/>
    </xf>
    <xf numFmtId="0" fontId="153" fillId="4" borderId="33" xfId="0" applyNumberFormat="1" applyFont="1" applyFill="1" applyBorder="1" applyAlignment="1" applyProtection="1">
      <alignment horizontal="center" vertical="center"/>
    </xf>
    <xf numFmtId="0" fontId="156" fillId="4" borderId="99" xfId="0" applyNumberFormat="1" applyFont="1" applyFill="1" applyBorder="1" applyAlignment="1" applyProtection="1">
      <alignment horizontal="center" vertical="center" wrapText="1"/>
    </xf>
    <xf numFmtId="0" fontId="156" fillId="4" borderId="105" xfId="0" applyNumberFormat="1" applyFont="1" applyFill="1" applyBorder="1" applyAlignment="1" applyProtection="1">
      <alignment horizontal="center" vertical="center" wrapText="1"/>
    </xf>
    <xf numFmtId="0" fontId="156" fillId="4" borderId="80" xfId="0" applyNumberFormat="1" applyFont="1" applyFill="1" applyBorder="1" applyAlignment="1" applyProtection="1">
      <alignment horizontal="center" vertical="center" wrapText="1"/>
    </xf>
    <xf numFmtId="0" fontId="156" fillId="4" borderId="38" xfId="0" applyNumberFormat="1" applyFont="1" applyFill="1" applyBorder="1" applyAlignment="1" applyProtection="1">
      <alignment horizontal="center" vertical="center" wrapText="1"/>
    </xf>
    <xf numFmtId="0" fontId="155" fillId="4" borderId="1" xfId="0" applyNumberFormat="1" applyFont="1" applyFill="1" applyBorder="1" applyAlignment="1" applyProtection="1">
      <alignment horizontal="center" vertical="top"/>
    </xf>
    <xf numFmtId="0" fontId="156" fillId="4" borderId="1" xfId="0" applyNumberFormat="1" applyFont="1" applyFill="1" applyBorder="1" applyAlignment="1" applyProtection="1">
      <alignment horizontal="left" vertical="center"/>
    </xf>
    <xf numFmtId="0" fontId="156" fillId="4" borderId="80" xfId="0" applyNumberFormat="1" applyFont="1" applyFill="1" applyBorder="1" applyAlignment="1" applyProtection="1">
      <alignment horizontal="center" vertical="center"/>
    </xf>
    <xf numFmtId="0" fontId="156" fillId="4" borderId="38" xfId="0" applyNumberFormat="1" applyFont="1" applyFill="1" applyBorder="1" applyAlignment="1" applyProtection="1">
      <alignment horizontal="center" vertical="center"/>
    </xf>
    <xf numFmtId="0" fontId="156" fillId="4" borderId="165" xfId="0" applyNumberFormat="1" applyFont="1" applyFill="1" applyBorder="1" applyAlignment="1" applyProtection="1">
      <alignment horizontal="center" vertical="center" wrapText="1"/>
    </xf>
    <xf numFmtId="0" fontId="156" fillId="4" borderId="166" xfId="0" applyNumberFormat="1" applyFont="1" applyFill="1" applyBorder="1" applyAlignment="1" applyProtection="1">
      <alignment horizontal="center" vertical="center"/>
    </xf>
    <xf numFmtId="0" fontId="156" fillId="4" borderId="167" xfId="0" applyNumberFormat="1" applyFont="1" applyFill="1" applyBorder="1" applyAlignment="1" applyProtection="1">
      <alignment horizontal="center" vertical="center"/>
    </xf>
    <xf numFmtId="0" fontId="153" fillId="4" borderId="59" xfId="0" applyNumberFormat="1" applyFont="1" applyFill="1" applyBorder="1" applyAlignment="1" applyProtection="1">
      <alignment horizontal="center" vertical="center"/>
    </xf>
    <xf numFmtId="0" fontId="153" fillId="4" borderId="97" xfId="0" applyNumberFormat="1" applyFont="1" applyFill="1" applyBorder="1" applyAlignment="1" applyProtection="1">
      <alignment horizontal="center" vertical="center"/>
    </xf>
    <xf numFmtId="0" fontId="13" fillId="4" borderId="1" xfId="0" applyNumberFormat="1" applyFont="1" applyFill="1" applyBorder="1" applyAlignment="1" applyProtection="1">
      <alignment horizontal="center" vertical="top"/>
    </xf>
    <xf numFmtId="0" fontId="12" fillId="4" borderId="1" xfId="0" applyNumberFormat="1" applyFont="1" applyFill="1" applyBorder="1" applyAlignment="1" applyProtection="1">
      <alignment horizontal="left" vertical="top"/>
    </xf>
    <xf numFmtId="0" fontId="17" fillId="4" borderId="33" xfId="0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left" vertical="center" wrapText="1"/>
    </xf>
    <xf numFmtId="0" fontId="15" fillId="4" borderId="103" xfId="0" applyNumberFormat="1" applyFont="1" applyFill="1" applyBorder="1" applyAlignment="1" applyProtection="1">
      <alignment horizontal="center" vertical="center"/>
    </xf>
    <xf numFmtId="0" fontId="15" fillId="4" borderId="104" xfId="0" applyNumberFormat="1" applyFont="1" applyFill="1" applyBorder="1" applyAlignment="1" applyProtection="1">
      <alignment horizontal="center" vertical="center"/>
    </xf>
    <xf numFmtId="0" fontId="15" fillId="4" borderId="8" xfId="0" applyNumberFormat="1" applyFont="1" applyFill="1" applyBorder="1" applyAlignment="1" applyProtection="1">
      <alignment horizontal="center" vertical="center"/>
    </xf>
    <xf numFmtId="0" fontId="16" fillId="4" borderId="8" xfId="0" applyNumberFormat="1" applyFont="1" applyFill="1" applyBorder="1" applyAlignment="1" applyProtection="1">
      <alignment horizontal="center" vertical="center" wrapText="1"/>
    </xf>
    <xf numFmtId="3" fontId="17" fillId="4" borderId="59" xfId="0" applyNumberFormat="1" applyFont="1" applyFill="1" applyBorder="1" applyAlignment="1" applyProtection="1">
      <alignment horizontal="right" vertical="center"/>
    </xf>
    <xf numFmtId="3" fontId="17" fillId="4" borderId="67" xfId="0" applyNumberFormat="1" applyFont="1" applyFill="1" applyBorder="1" applyAlignment="1" applyProtection="1">
      <alignment horizontal="right" vertical="center"/>
    </xf>
    <xf numFmtId="0" fontId="15" fillId="4" borderId="80" xfId="0" applyNumberFormat="1" applyFont="1" applyFill="1" applyBorder="1" applyAlignment="1" applyProtection="1">
      <alignment horizontal="center" vertical="center" wrapText="1"/>
    </xf>
    <xf numFmtId="0" fontId="15" fillId="4" borderId="38" xfId="0" applyNumberFormat="1" applyFont="1" applyFill="1" applyBorder="1" applyAlignment="1" applyProtection="1">
      <alignment horizontal="center" vertical="center" wrapText="1"/>
    </xf>
    <xf numFmtId="0" fontId="15" fillId="4" borderId="99" xfId="0" applyNumberFormat="1" applyFont="1" applyFill="1" applyBorder="1" applyAlignment="1" applyProtection="1">
      <alignment horizontal="center" vertical="center" wrapText="1"/>
    </xf>
    <xf numFmtId="0" fontId="15" fillId="4" borderId="105" xfId="0" applyNumberFormat="1" applyFont="1" applyFill="1" applyBorder="1" applyAlignment="1" applyProtection="1">
      <alignment horizontal="center" vertical="center" wrapText="1"/>
    </xf>
    <xf numFmtId="0" fontId="30" fillId="4" borderId="33" xfId="0" applyNumberFormat="1" applyFont="1" applyFill="1" applyBorder="1" applyAlignment="1" applyProtection="1">
      <alignment horizontal="center" vertical="center"/>
    </xf>
    <xf numFmtId="0" fontId="15" fillId="4" borderId="80" xfId="0" applyNumberFormat="1" applyFont="1" applyFill="1" applyBorder="1" applyAlignment="1" applyProtection="1">
      <alignment horizontal="center" vertical="center"/>
    </xf>
    <xf numFmtId="0" fontId="15" fillId="4" borderId="38" xfId="0" applyNumberFormat="1" applyFont="1" applyFill="1" applyBorder="1" applyAlignment="1" applyProtection="1">
      <alignment horizontal="center" vertical="center"/>
    </xf>
    <xf numFmtId="3" fontId="17" fillId="4" borderId="33" xfId="0" applyNumberFormat="1" applyFont="1" applyFill="1" applyBorder="1" applyAlignment="1" applyProtection="1">
      <alignment horizontal="right" vertical="center"/>
    </xf>
    <xf numFmtId="3" fontId="28" fillId="0" borderId="33" xfId="0" applyNumberFormat="1" applyFont="1" applyFill="1" applyBorder="1" applyAlignment="1" applyProtection="1">
      <alignment horizontal="right" vertical="center"/>
    </xf>
    <xf numFmtId="3" fontId="17" fillId="4" borderId="59" xfId="0" applyNumberFormat="1" applyFont="1" applyFill="1" applyBorder="1" applyAlignment="1" applyProtection="1">
      <alignment horizontal="center" vertical="center"/>
    </xf>
    <xf numFmtId="3" fontId="17" fillId="4" borderId="67" xfId="0" applyNumberFormat="1" applyFont="1" applyFill="1" applyBorder="1" applyAlignment="1" applyProtection="1">
      <alignment horizontal="center" vertical="center"/>
    </xf>
    <xf numFmtId="3" fontId="30" fillId="4" borderId="59" xfId="0" applyNumberFormat="1" applyFont="1" applyFill="1" applyBorder="1" applyAlignment="1" applyProtection="1">
      <alignment horizontal="right" vertical="center"/>
    </xf>
    <xf numFmtId="3" fontId="30" fillId="4" borderId="67" xfId="0" applyNumberFormat="1" applyFont="1" applyFill="1" applyBorder="1" applyAlignment="1" applyProtection="1">
      <alignment horizontal="right" vertical="center"/>
    </xf>
    <xf numFmtId="3" fontId="30" fillId="4" borderId="97" xfId="0" applyNumberFormat="1" applyFont="1" applyFill="1" applyBorder="1" applyAlignment="1" applyProtection="1">
      <alignment horizontal="right" vertical="center"/>
    </xf>
    <xf numFmtId="0" fontId="17" fillId="4" borderId="97" xfId="0" applyNumberFormat="1" applyFont="1" applyFill="1" applyBorder="1" applyAlignment="1" applyProtection="1">
      <alignment horizontal="center" vertical="center"/>
    </xf>
    <xf numFmtId="3" fontId="17" fillId="4" borderId="150" xfId="0" applyNumberFormat="1" applyFont="1" applyFill="1" applyBorder="1" applyAlignment="1" applyProtection="1">
      <alignment horizontal="center" vertical="center"/>
    </xf>
    <xf numFmtId="0" fontId="15" fillId="4" borderId="37" xfId="0" applyNumberFormat="1" applyFont="1" applyFill="1" applyBorder="1" applyAlignment="1" applyProtection="1">
      <alignment horizontal="center" vertical="center" wrapText="1"/>
    </xf>
    <xf numFmtId="0" fontId="14" fillId="4" borderId="1" xfId="0" applyNumberFormat="1" applyFont="1" applyFill="1" applyBorder="1" applyAlignment="1" applyProtection="1">
      <alignment horizontal="left" vertical="center"/>
    </xf>
    <xf numFmtId="0" fontId="15" fillId="4" borderId="39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left" vertical="top"/>
    </xf>
    <xf numFmtId="0" fontId="17" fillId="4" borderId="60" xfId="0" applyFont="1" applyFill="1" applyBorder="1" applyAlignment="1">
      <alignment horizontal="center" vertical="center"/>
    </xf>
    <xf numFmtId="0" fontId="165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center"/>
    </xf>
    <xf numFmtId="0" fontId="15" fillId="4" borderId="60" xfId="0" applyFont="1" applyFill="1" applyBorder="1" applyAlignment="1">
      <alignment horizontal="center" vertical="center" wrapText="1"/>
    </xf>
    <xf numFmtId="0" fontId="15" fillId="4" borderId="60" xfId="0" applyFont="1" applyFill="1" applyBorder="1" applyAlignment="1">
      <alignment horizontal="center" vertical="center"/>
    </xf>
    <xf numFmtId="0" fontId="70" fillId="4" borderId="73" xfId="0" applyNumberFormat="1" applyFont="1" applyFill="1" applyBorder="1" applyAlignment="1" applyProtection="1">
      <alignment horizontal="center" vertical="center"/>
    </xf>
    <xf numFmtId="0" fontId="70" fillId="4" borderId="1" xfId="0" applyNumberFormat="1" applyFont="1" applyFill="1" applyBorder="1" applyAlignment="1" applyProtection="1">
      <alignment horizontal="left" vertical="top"/>
    </xf>
    <xf numFmtId="0" fontId="70" fillId="4" borderId="33" xfId="0" applyNumberFormat="1" applyFont="1" applyFill="1" applyBorder="1" applyAlignment="1" applyProtection="1">
      <alignment horizontal="center" vertical="center"/>
    </xf>
    <xf numFmtId="0" fontId="159" fillId="4" borderId="1" xfId="0" applyNumberFormat="1" applyFont="1" applyFill="1" applyBorder="1" applyAlignment="1" applyProtection="1">
      <alignment horizontal="center" vertical="top"/>
    </xf>
    <xf numFmtId="0" fontId="158" fillId="4" borderId="1" xfId="0" applyNumberFormat="1" applyFont="1" applyFill="1" applyBorder="1" applyAlignment="1" applyProtection="1">
      <alignment horizontal="left" vertical="top"/>
    </xf>
    <xf numFmtId="0" fontId="160" fillId="4" borderId="37" xfId="0" applyNumberFormat="1" applyFont="1" applyFill="1" applyBorder="1" applyAlignment="1" applyProtection="1">
      <alignment horizontal="center" vertical="center" wrapText="1"/>
    </xf>
    <xf numFmtId="0" fontId="160" fillId="4" borderId="38" xfId="0" applyNumberFormat="1" applyFont="1" applyFill="1" applyBorder="1" applyAlignment="1" applyProtection="1">
      <alignment horizontal="center" vertical="center" wrapText="1"/>
    </xf>
    <xf numFmtId="0" fontId="160" fillId="4" borderId="1" xfId="0" applyNumberFormat="1" applyFont="1" applyFill="1" applyBorder="1" applyAlignment="1" applyProtection="1">
      <alignment horizontal="left" vertical="center"/>
    </xf>
    <xf numFmtId="0" fontId="160" fillId="4" borderId="39" xfId="0" applyNumberFormat="1" applyFont="1" applyFill="1" applyBorder="1" applyAlignment="1" applyProtection="1">
      <alignment horizontal="center" vertical="center"/>
    </xf>
    <xf numFmtId="0" fontId="160" fillId="4" borderId="8" xfId="0" applyNumberFormat="1" applyFont="1" applyFill="1" applyBorder="1" applyAlignment="1" applyProtection="1">
      <alignment horizontal="center" vertical="center"/>
    </xf>
    <xf numFmtId="0" fontId="158" fillId="4" borderId="8" xfId="0" applyNumberFormat="1" applyFont="1" applyFill="1" applyBorder="1" applyAlignment="1" applyProtection="1">
      <alignment horizontal="center" vertical="center" wrapText="1"/>
    </xf>
    <xf numFmtId="3" fontId="70" fillId="4" borderId="33" xfId="0" applyNumberFormat="1" applyFont="1" applyFill="1" applyBorder="1" applyAlignment="1" applyProtection="1">
      <alignment horizontal="right" vertical="center"/>
    </xf>
    <xf numFmtId="165" fontId="70" fillId="4" borderId="73" xfId="77" applyNumberFormat="1" applyFont="1" applyFill="1" applyBorder="1" applyAlignment="1" applyProtection="1">
      <alignment horizontal="right" vertical="center"/>
    </xf>
    <xf numFmtId="3" fontId="17" fillId="4" borderId="33" xfId="11" applyNumberFormat="1" applyFont="1" applyFill="1" applyBorder="1" applyAlignment="1" applyProtection="1">
      <alignment horizontal="right" vertical="center"/>
    </xf>
    <xf numFmtId="3" fontId="17" fillId="4" borderId="73" xfId="11" applyNumberFormat="1" applyFont="1" applyFill="1" applyBorder="1" applyAlignment="1" applyProtection="1">
      <alignment horizontal="right" vertical="center"/>
    </xf>
    <xf numFmtId="0" fontId="12" fillId="4" borderId="1" xfId="11" applyNumberFormat="1" applyFont="1" applyFill="1" applyBorder="1" applyAlignment="1" applyProtection="1">
      <alignment horizontal="left" vertical="top"/>
    </xf>
    <xf numFmtId="0" fontId="15" fillId="4" borderId="37" xfId="11" applyNumberFormat="1" applyFont="1" applyFill="1" applyBorder="1" applyAlignment="1" applyProtection="1">
      <alignment horizontal="center" vertical="center" wrapText="1"/>
    </xf>
    <xf numFmtId="0" fontId="15" fillId="4" borderId="38" xfId="11" applyNumberFormat="1" applyFont="1" applyFill="1" applyBorder="1" applyAlignment="1" applyProtection="1">
      <alignment horizontal="center" vertical="center" wrapText="1"/>
    </xf>
    <xf numFmtId="0" fontId="165" fillId="4" borderId="1" xfId="11" applyNumberFormat="1" applyFont="1" applyFill="1" applyBorder="1" applyAlignment="1" applyProtection="1">
      <alignment horizontal="center" vertical="top"/>
    </xf>
    <xf numFmtId="0" fontId="14" fillId="4" borderId="1" xfId="11" applyNumberFormat="1" applyFont="1" applyFill="1" applyBorder="1" applyAlignment="1" applyProtection="1">
      <alignment horizontal="left" vertical="center"/>
    </xf>
    <xf numFmtId="0" fontId="15" fillId="4" borderId="39" xfId="11" applyNumberFormat="1" applyFont="1" applyFill="1" applyBorder="1" applyAlignment="1" applyProtection="1">
      <alignment horizontal="center" vertical="center"/>
    </xf>
    <xf numFmtId="0" fontId="15" fillId="4" borderId="8" xfId="11" applyNumberFormat="1" applyFont="1" applyFill="1" applyBorder="1" applyAlignment="1" applyProtection="1">
      <alignment horizontal="center" vertical="center"/>
    </xf>
    <xf numFmtId="0" fontId="16" fillId="4" borderId="8" xfId="11" applyNumberFormat="1" applyFont="1" applyFill="1" applyBorder="1" applyAlignment="1" applyProtection="1">
      <alignment horizontal="center" vertical="center" wrapText="1"/>
    </xf>
    <xf numFmtId="0" fontId="165" fillId="4" borderId="1" xfId="0" applyNumberFormat="1" applyFont="1" applyFill="1" applyBorder="1" applyAlignment="1" applyProtection="1">
      <alignment horizontal="center" vertical="top"/>
    </xf>
    <xf numFmtId="0" fontId="66" fillId="4" borderId="8" xfId="0" applyNumberFormat="1" applyFont="1" applyFill="1" applyBorder="1" applyAlignment="1" applyProtection="1">
      <alignment horizontal="center" vertical="center"/>
    </xf>
    <xf numFmtId="0" fontId="67" fillId="4" borderId="8" xfId="0" applyNumberFormat="1" applyFont="1" applyFill="1" applyBorder="1" applyAlignment="1" applyProtection="1">
      <alignment horizontal="center" vertical="center" wrapText="1"/>
    </xf>
    <xf numFmtId="3" fontId="22" fillId="4" borderId="33" xfId="0" applyNumberFormat="1" applyFont="1" applyFill="1" applyBorder="1" applyAlignment="1" applyProtection="1">
      <alignment horizontal="right" vertical="center"/>
    </xf>
    <xf numFmtId="3" fontId="43" fillId="4" borderId="33" xfId="0" applyNumberFormat="1" applyFont="1" applyFill="1" applyBorder="1" applyAlignment="1" applyProtection="1">
      <alignment horizontal="right" vertical="center"/>
    </xf>
    <xf numFmtId="3" fontId="22" fillId="4" borderId="59" xfId="0" applyNumberFormat="1" applyFont="1" applyFill="1" applyBorder="1" applyAlignment="1" applyProtection="1">
      <alignment horizontal="right" vertical="center"/>
    </xf>
    <xf numFmtId="3" fontId="22" fillId="4" borderId="67" xfId="0" applyNumberFormat="1" applyFont="1" applyFill="1" applyBorder="1" applyAlignment="1" applyProtection="1">
      <alignment horizontal="right" vertical="center"/>
    </xf>
    <xf numFmtId="9" fontId="22" fillId="4" borderId="33" xfId="85" applyFont="1" applyFill="1" applyBorder="1" applyAlignment="1" applyProtection="1">
      <alignment horizontal="right" vertical="center"/>
    </xf>
    <xf numFmtId="0" fontId="35" fillId="3" borderId="49" xfId="0" applyNumberFormat="1" applyFont="1" applyFill="1" applyBorder="1" applyAlignment="1" applyProtection="1">
      <alignment horizontal="center" vertical="center"/>
    </xf>
    <xf numFmtId="0" fontId="35" fillId="4" borderId="16" xfId="0" applyNumberFormat="1" applyFont="1" applyFill="1" applyBorder="1" applyAlignment="1" applyProtection="1">
      <alignment horizontal="center" vertical="center" wrapText="1"/>
    </xf>
    <xf numFmtId="0" fontId="35" fillId="3" borderId="3" xfId="0" applyNumberFormat="1" applyFont="1" applyFill="1" applyBorder="1" applyAlignment="1" applyProtection="1">
      <alignment horizontal="center" vertical="center" wrapText="1"/>
    </xf>
    <xf numFmtId="0" fontId="35" fillId="3" borderId="4" xfId="0" applyNumberFormat="1" applyFont="1" applyFill="1" applyBorder="1" applyAlignment="1" applyProtection="1">
      <alignment horizontal="center" vertical="center" wrapText="1"/>
    </xf>
    <xf numFmtId="0" fontId="35" fillId="3" borderId="42" xfId="0" applyNumberFormat="1" applyFont="1" applyFill="1" applyBorder="1" applyAlignment="1" applyProtection="1">
      <alignment horizontal="center" vertical="center" wrapText="1"/>
    </xf>
    <xf numFmtId="0" fontId="35" fillId="3" borderId="43" xfId="0" applyNumberFormat="1" applyFont="1" applyFill="1" applyBorder="1" applyAlignment="1" applyProtection="1">
      <alignment horizontal="center" vertical="center" wrapText="1"/>
    </xf>
    <xf numFmtId="0" fontId="35" fillId="3" borderId="47" xfId="0" applyNumberFormat="1" applyFont="1" applyFill="1" applyBorder="1" applyAlignment="1" applyProtection="1">
      <alignment horizontal="center" vertical="center" wrapText="1"/>
    </xf>
    <xf numFmtId="0" fontId="35" fillId="3" borderId="33" xfId="0" applyNumberFormat="1" applyFont="1" applyFill="1" applyBorder="1" applyAlignment="1" applyProtection="1">
      <alignment horizontal="center" vertical="center" wrapText="1"/>
    </xf>
    <xf numFmtId="0" fontId="35" fillId="3" borderId="48" xfId="0" applyNumberFormat="1" applyFont="1" applyFill="1" applyBorder="1" applyAlignment="1" applyProtection="1">
      <alignment horizontal="center" vertical="center" wrapText="1"/>
    </xf>
    <xf numFmtId="0" fontId="35" fillId="3" borderId="7" xfId="0" applyNumberFormat="1" applyFont="1" applyFill="1" applyBorder="1" applyAlignment="1" applyProtection="1">
      <alignment horizontal="center" vertical="center"/>
    </xf>
    <xf numFmtId="0" fontId="58" fillId="4" borderId="92" xfId="534" applyNumberFormat="1" applyFont="1" applyFill="1" applyBorder="1" applyAlignment="1" applyProtection="1">
      <alignment horizontal="center" vertical="center" wrapText="1"/>
    </xf>
    <xf numFmtId="0" fontId="58" fillId="4" borderId="16" xfId="534" applyNumberFormat="1" applyFont="1" applyFill="1" applyBorder="1" applyAlignment="1" applyProtection="1">
      <alignment horizontal="center" vertical="center" wrapText="1"/>
    </xf>
    <xf numFmtId="0" fontId="58" fillId="4" borderId="111" xfId="534" applyNumberFormat="1" applyFont="1" applyFill="1" applyBorder="1" applyAlignment="1" applyProtection="1">
      <alignment horizontal="center" vertical="center" wrapText="1"/>
    </xf>
    <xf numFmtId="0" fontId="58" fillId="4" borderId="112" xfId="534" applyNumberFormat="1" applyFont="1" applyFill="1" applyBorder="1" applyAlignment="1" applyProtection="1">
      <alignment horizontal="center" vertical="center" wrapText="1"/>
    </xf>
    <xf numFmtId="0" fontId="58" fillId="4" borderId="106" xfId="534" applyNumberFormat="1" applyFont="1" applyFill="1" applyBorder="1" applyAlignment="1" applyProtection="1">
      <alignment horizontal="center" vertical="center" wrapText="1"/>
    </xf>
    <xf numFmtId="0" fontId="58" fillId="4" borderId="101" xfId="534" applyNumberFormat="1" applyFont="1" applyFill="1" applyBorder="1" applyAlignment="1" applyProtection="1">
      <alignment horizontal="center" vertical="center" wrapText="1"/>
    </xf>
    <xf numFmtId="0" fontId="2" fillId="4" borderId="1" xfId="534" applyNumberFormat="1" applyFont="1" applyFill="1" applyBorder="1" applyAlignment="1" applyProtection="1">
      <alignment horizontal="center" vertical="top"/>
    </xf>
    <xf numFmtId="0" fontId="4" fillId="4" borderId="1" xfId="534" applyNumberFormat="1" applyFont="1" applyFill="1" applyBorder="1" applyAlignment="1" applyProtection="1">
      <alignment horizontal="left" vertical="center"/>
    </xf>
    <xf numFmtId="0" fontId="4" fillId="4" borderId="1" xfId="534" applyNumberFormat="1" applyFont="1" applyFill="1" applyBorder="1" applyAlignment="1" applyProtection="1">
      <alignment horizontal="right" vertical="center"/>
    </xf>
    <xf numFmtId="0" fontId="57" fillId="3" borderId="85" xfId="534" applyNumberFormat="1" applyFont="1" applyFill="1" applyBorder="1" applyAlignment="1" applyProtection="1">
      <alignment horizontal="center" vertical="center" wrapText="1"/>
    </xf>
    <xf numFmtId="0" fontId="57" fillId="3" borderId="86" xfId="534" applyNumberFormat="1" applyFont="1" applyFill="1" applyBorder="1" applyAlignment="1" applyProtection="1">
      <alignment horizontal="center" vertical="center" wrapText="1"/>
    </xf>
    <xf numFmtId="0" fontId="57" fillId="3" borderId="87" xfId="534" applyNumberFormat="1" applyFont="1" applyFill="1" applyBorder="1" applyAlignment="1" applyProtection="1">
      <alignment horizontal="center" vertical="center" wrapText="1"/>
    </xf>
    <xf numFmtId="0" fontId="57" fillId="3" borderId="42" xfId="534" applyNumberFormat="1" applyFont="1" applyFill="1" applyBorder="1" applyAlignment="1" applyProtection="1">
      <alignment horizontal="center" vertical="center" wrapText="1"/>
    </xf>
    <xf numFmtId="0" fontId="57" fillId="3" borderId="43" xfId="534" applyNumberFormat="1" applyFont="1" applyFill="1" applyBorder="1" applyAlignment="1" applyProtection="1">
      <alignment horizontal="center" vertical="center" wrapText="1"/>
    </xf>
    <xf numFmtId="0" fontId="57" fillId="3" borderId="89" xfId="534" applyNumberFormat="1" applyFont="1" applyFill="1" applyBorder="1" applyAlignment="1" applyProtection="1">
      <alignment horizontal="center" vertical="center" wrapText="1"/>
    </xf>
    <xf numFmtId="0" fontId="57" fillId="3" borderId="100" xfId="534" applyNumberFormat="1" applyFont="1" applyFill="1" applyBorder="1" applyAlignment="1" applyProtection="1">
      <alignment horizontal="center" vertical="center" wrapText="1"/>
    </xf>
    <xf numFmtId="0" fontId="57" fillId="3" borderId="33" xfId="534" applyNumberFormat="1" applyFont="1" applyFill="1" applyBorder="1" applyAlignment="1" applyProtection="1">
      <alignment horizontal="center" vertical="center" wrapText="1"/>
    </xf>
    <xf numFmtId="0" fontId="57" fillId="3" borderId="48" xfId="534" applyNumberFormat="1" applyFont="1" applyFill="1" applyBorder="1" applyAlignment="1" applyProtection="1">
      <alignment horizontal="center" vertical="center" wrapText="1"/>
    </xf>
    <xf numFmtId="0" fontId="57" fillId="3" borderId="7" xfId="534" applyNumberFormat="1" applyFont="1" applyFill="1" applyBorder="1" applyAlignment="1" applyProtection="1">
      <alignment horizontal="center" vertical="center"/>
    </xf>
    <xf numFmtId="165" fontId="57" fillId="3" borderId="49" xfId="78" applyNumberFormat="1" applyFont="1" applyFill="1" applyBorder="1" applyAlignment="1" applyProtection="1">
      <alignment horizontal="center" vertical="center"/>
    </xf>
    <xf numFmtId="165" fontId="57" fillId="3" borderId="107" xfId="78" applyNumberFormat="1" applyFont="1" applyFill="1" applyBorder="1" applyAlignment="1" applyProtection="1">
      <alignment horizontal="center" vertical="center"/>
    </xf>
    <xf numFmtId="0" fontId="71" fillId="4" borderId="1" xfId="104" applyNumberFormat="1" applyFont="1" applyFill="1" applyBorder="1" applyAlignment="1" applyProtection="1">
      <alignment horizontal="center" vertical="top"/>
    </xf>
    <xf numFmtId="0" fontId="71" fillId="4" borderId="1" xfId="104" applyNumberFormat="1" applyFont="1" applyFill="1" applyBorder="1" applyAlignment="1" applyProtection="1">
      <alignment horizontal="left" vertical="center"/>
    </xf>
    <xf numFmtId="0" fontId="71" fillId="4" borderId="1" xfId="104" applyNumberFormat="1" applyFont="1" applyFill="1" applyBorder="1" applyAlignment="1" applyProtection="1">
      <alignment horizontal="right" vertical="center"/>
    </xf>
    <xf numFmtId="0" fontId="71" fillId="3" borderId="3" xfId="104" applyNumberFormat="1" applyFont="1" applyFill="1" applyBorder="1" applyAlignment="1" applyProtection="1">
      <alignment horizontal="center" vertical="center" wrapText="1"/>
    </xf>
    <xf numFmtId="0" fontId="71" fillId="3" borderId="4" xfId="104" applyNumberFormat="1" applyFont="1" applyFill="1" applyBorder="1" applyAlignment="1" applyProtection="1">
      <alignment horizontal="center" vertical="center" wrapText="1"/>
    </xf>
    <xf numFmtId="0" fontId="161" fillId="4" borderId="16" xfId="104" applyNumberFormat="1" applyFont="1" applyFill="1" applyBorder="1" applyAlignment="1" applyProtection="1">
      <alignment horizontal="center" vertical="center" wrapText="1"/>
    </xf>
    <xf numFmtId="0" fontId="71" fillId="3" borderId="42" xfId="104" applyNumberFormat="1" applyFont="1" applyFill="1" applyBorder="1" applyAlignment="1" applyProtection="1">
      <alignment horizontal="center" vertical="center" wrapText="1"/>
    </xf>
    <xf numFmtId="0" fontId="70" fillId="4" borderId="46" xfId="104" applyNumberFormat="1" applyFont="1" applyFill="1" applyBorder="1" applyAlignment="1" applyProtection="1">
      <alignment horizontal="left" vertical="top"/>
    </xf>
    <xf numFmtId="0" fontId="70" fillId="4" borderId="1" xfId="104" applyNumberFormat="1" applyFont="1" applyFill="1" applyBorder="1" applyAlignment="1" applyProtection="1">
      <alignment horizontal="left" vertical="top"/>
    </xf>
    <xf numFmtId="0" fontId="71" fillId="3" borderId="43" xfId="104" applyNumberFormat="1" applyFont="1" applyFill="1" applyBorder="1" applyAlignment="1" applyProtection="1">
      <alignment horizontal="center" vertical="center" wrapText="1"/>
    </xf>
    <xf numFmtId="0" fontId="71" fillId="3" borderId="47" xfId="104" applyNumberFormat="1" applyFont="1" applyFill="1" applyBorder="1" applyAlignment="1" applyProtection="1">
      <alignment horizontal="center" vertical="center" wrapText="1"/>
    </xf>
    <xf numFmtId="0" fontId="71" fillId="3" borderId="33" xfId="104" applyNumberFormat="1" applyFont="1" applyFill="1" applyBorder="1" applyAlignment="1" applyProtection="1">
      <alignment horizontal="center" vertical="center" wrapText="1"/>
    </xf>
    <xf numFmtId="0" fontId="71" fillId="3" borderId="48" xfId="104" applyNumberFormat="1" applyFont="1" applyFill="1" applyBorder="1" applyAlignment="1" applyProtection="1">
      <alignment horizontal="center" vertical="center" wrapText="1"/>
    </xf>
    <xf numFmtId="0" fontId="71" fillId="3" borderId="7" xfId="104" applyNumberFormat="1" applyFont="1" applyFill="1" applyBorder="1" applyAlignment="1" applyProtection="1">
      <alignment horizontal="center" vertical="center"/>
    </xf>
    <xf numFmtId="0" fontId="100" fillId="3" borderId="7" xfId="104" applyNumberFormat="1" applyFont="1" applyFill="1" applyBorder="1" applyAlignment="1" applyProtection="1">
      <alignment horizontal="center" vertical="center"/>
    </xf>
    <xf numFmtId="0" fontId="71" fillId="3" borderId="49" xfId="104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right" vertical="center"/>
    </xf>
    <xf numFmtId="0" fontId="3" fillId="4" borderId="60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 wrapText="1"/>
    </xf>
    <xf numFmtId="0" fontId="149" fillId="4" borderId="1" xfId="114" applyNumberFormat="1" applyFont="1" applyFill="1" applyBorder="1" applyAlignment="1" applyProtection="1">
      <alignment horizontal="center" vertical="top"/>
    </xf>
    <xf numFmtId="0" fontId="149" fillId="4" borderId="1" xfId="114" applyNumberFormat="1" applyFont="1" applyFill="1" applyBorder="1" applyAlignment="1" applyProtection="1">
      <alignment horizontal="left" vertical="center"/>
    </xf>
    <xf numFmtId="0" fontId="149" fillId="4" borderId="1" xfId="114" applyNumberFormat="1" applyFont="1" applyFill="1" applyBorder="1" applyAlignment="1" applyProtection="1">
      <alignment horizontal="right" vertical="center"/>
    </xf>
    <xf numFmtId="0" fontId="149" fillId="3" borderId="3" xfId="114" applyNumberFormat="1" applyFont="1" applyFill="1" applyBorder="1" applyAlignment="1" applyProtection="1">
      <alignment horizontal="center" vertical="center" wrapText="1"/>
    </xf>
    <xf numFmtId="0" fontId="149" fillId="3" borderId="4" xfId="114" applyNumberFormat="1" applyFont="1" applyFill="1" applyBorder="1" applyAlignment="1" applyProtection="1">
      <alignment horizontal="center" vertical="center" wrapText="1"/>
    </xf>
    <xf numFmtId="0" fontId="164" fillId="4" borderId="16" xfId="114" applyNumberFormat="1" applyFont="1" applyFill="1" applyBorder="1" applyAlignment="1" applyProtection="1">
      <alignment horizontal="center" vertical="center" wrapText="1"/>
    </xf>
    <xf numFmtId="0" fontId="149" fillId="3" borderId="42" xfId="114" applyNumberFormat="1" applyFont="1" applyFill="1" applyBorder="1" applyAlignment="1" applyProtection="1">
      <alignment horizontal="center" vertical="center" wrapText="1"/>
    </xf>
    <xf numFmtId="0" fontId="149" fillId="3" borderId="43" xfId="114" applyNumberFormat="1" applyFont="1" applyFill="1" applyBorder="1" applyAlignment="1" applyProtection="1">
      <alignment horizontal="center" vertical="center" wrapText="1"/>
    </xf>
    <xf numFmtId="0" fontId="149" fillId="3" borderId="47" xfId="114" applyNumberFormat="1" applyFont="1" applyFill="1" applyBorder="1" applyAlignment="1" applyProtection="1">
      <alignment horizontal="center" vertical="center" wrapText="1"/>
    </xf>
    <xf numFmtId="0" fontId="149" fillId="3" borderId="33" xfId="114" applyNumberFormat="1" applyFont="1" applyFill="1" applyBorder="1" applyAlignment="1" applyProtection="1">
      <alignment horizontal="center" vertical="center" wrapText="1"/>
    </xf>
    <xf numFmtId="0" fontId="149" fillId="3" borderId="48" xfId="114" applyNumberFormat="1" applyFont="1" applyFill="1" applyBorder="1" applyAlignment="1" applyProtection="1">
      <alignment horizontal="center" vertical="center" wrapText="1"/>
    </xf>
    <xf numFmtId="0" fontId="149" fillId="3" borderId="7" xfId="114" applyNumberFormat="1" applyFont="1" applyFill="1" applyBorder="1" applyAlignment="1" applyProtection="1">
      <alignment horizontal="center" vertical="center"/>
    </xf>
    <xf numFmtId="0" fontId="149" fillId="3" borderId="49" xfId="114" applyNumberFormat="1" applyFont="1" applyFill="1" applyBorder="1" applyAlignment="1" applyProtection="1">
      <alignment horizontal="center" vertical="center"/>
    </xf>
  </cellXfs>
  <cellStyles count="536">
    <cellStyle name="_ALB content sheet" xfId="143"/>
    <cellStyle name="_ALB content sheet 2" xfId="314"/>
    <cellStyle name="_ALB content sheet_Projekt_Buxhet_2012" xfId="144"/>
    <cellStyle name="_ALB_StructPC tables" xfId="145"/>
    <cellStyle name="_Output to team May 12 2008 10pm" xfId="146"/>
    <cellStyle name="_PC Table Summary fror Gramoz May 13 2008" xfId="147"/>
    <cellStyle name="1 indent" xfId="148"/>
    <cellStyle name="2 indents" xfId="149"/>
    <cellStyle name="20% - Accent1 2" xfId="150"/>
    <cellStyle name="20% - Accent2 2" xfId="151"/>
    <cellStyle name="20% - Accent3 2" xfId="152"/>
    <cellStyle name="20% - Accent4 2" xfId="153"/>
    <cellStyle name="20% - Accent5 2" xfId="154"/>
    <cellStyle name="20% - Accent6 2" xfId="155"/>
    <cellStyle name="3 indents" xfId="156"/>
    <cellStyle name="4 indents" xfId="157"/>
    <cellStyle name="40% - Accent1 2" xfId="158"/>
    <cellStyle name="40% - Accent2 2" xfId="159"/>
    <cellStyle name="40% - Accent3 2" xfId="160"/>
    <cellStyle name="40% - Accent4 2" xfId="161"/>
    <cellStyle name="40% - Accent5 2" xfId="162"/>
    <cellStyle name="40% - Accent6 2" xfId="163"/>
    <cellStyle name="5 indents" xfId="164"/>
    <cellStyle name="60% - Accent1 2" xfId="165"/>
    <cellStyle name="60% - Accent2 2" xfId="166"/>
    <cellStyle name="60% - Accent3 2" xfId="167"/>
    <cellStyle name="60% - Accent4 2" xfId="168"/>
    <cellStyle name="60% - Accent5 2" xfId="169"/>
    <cellStyle name="60% - Accent6 2" xfId="170"/>
    <cellStyle name="Accent1 2" xfId="171"/>
    <cellStyle name="Accent2 2" xfId="172"/>
    <cellStyle name="Accent3 2" xfId="173"/>
    <cellStyle name="Accent4 2" xfId="174"/>
    <cellStyle name="Accent5 2" xfId="175"/>
    <cellStyle name="Accent6 2" xfId="176"/>
    <cellStyle name="Bad" xfId="92" builtinId="27"/>
    <cellStyle name="Bad 2" xfId="177"/>
    <cellStyle name="BoA" xfId="178"/>
    <cellStyle name="BoA 2" xfId="315"/>
    <cellStyle name="Calculation 2" xfId="179"/>
    <cellStyle name="Celkem" xfId="180"/>
    <cellStyle name="Check Cell 2" xfId="181"/>
    <cellStyle name="Comma" xfId="78" builtinId="3"/>
    <cellStyle name="Comma  - Style1" xfId="182"/>
    <cellStyle name="Comma  - Style1 2" xfId="316"/>
    <cellStyle name="Comma  - Style1 3" xfId="317"/>
    <cellStyle name="Comma [0] 2 2" xfId="126"/>
    <cellStyle name="Comma 10" xfId="77"/>
    <cellStyle name="Comma 100" xfId="480"/>
    <cellStyle name="Comma 101" xfId="481"/>
    <cellStyle name="Comma 102" xfId="511"/>
    <cellStyle name="Comma 103" xfId="510"/>
    <cellStyle name="Comma 104" xfId="519"/>
    <cellStyle name="Comma 105" xfId="514"/>
    <cellStyle name="Comma 106" xfId="496"/>
    <cellStyle name="Comma 107" xfId="122"/>
    <cellStyle name="Comma 108" xfId="524"/>
    <cellStyle name="Comma 109" xfId="527"/>
    <cellStyle name="Comma 11" xfId="318"/>
    <cellStyle name="Comma 110" xfId="530"/>
    <cellStyle name="Comma 111" xfId="533"/>
    <cellStyle name="Comma 112" xfId="535"/>
    <cellStyle name="Comma 12" xfId="319"/>
    <cellStyle name="Comma 13" xfId="320"/>
    <cellStyle name="Comma 14" xfId="321"/>
    <cellStyle name="Comma 15" xfId="322"/>
    <cellStyle name="Comma 16" xfId="323"/>
    <cellStyle name="Comma 17" xfId="324"/>
    <cellStyle name="Comma 18" xfId="325"/>
    <cellStyle name="Comma 18 2" xfId="326"/>
    <cellStyle name="Comma 19" xfId="327"/>
    <cellStyle name="Comma 2" xfId="63"/>
    <cellStyle name="Comma 2 2" xfId="98"/>
    <cellStyle name="Comma 2 2 2" xfId="142"/>
    <cellStyle name="Comma 2 3" xfId="183"/>
    <cellStyle name="Comma 2 3 2" xfId="423"/>
    <cellStyle name="Comma 2 3 3" xfId="424"/>
    <cellStyle name="Comma 2 4" xfId="184"/>
    <cellStyle name="Comma 2 5" xfId="131"/>
    <cellStyle name="Comma 20" xfId="328"/>
    <cellStyle name="Comma 21" xfId="329"/>
    <cellStyle name="Comma 22" xfId="330"/>
    <cellStyle name="Comma 23" xfId="331"/>
    <cellStyle name="Comma 24" xfId="332"/>
    <cellStyle name="Comma 25" xfId="394"/>
    <cellStyle name="Comma 26" xfId="395"/>
    <cellStyle name="Comma 27" xfId="396"/>
    <cellStyle name="Comma 28" xfId="397"/>
    <cellStyle name="Comma 29" xfId="398"/>
    <cellStyle name="Comma 3" xfId="127"/>
    <cellStyle name="Comma 3 2" xfId="138"/>
    <cellStyle name="Comma 3 3" xfId="333"/>
    <cellStyle name="Comma 3 4" xfId="132"/>
    <cellStyle name="Comma 30" xfId="399"/>
    <cellStyle name="Comma 31" xfId="400"/>
    <cellStyle name="Comma 32" xfId="401"/>
    <cellStyle name="Comma 33" xfId="402"/>
    <cellStyle name="Comma 34" xfId="403"/>
    <cellStyle name="Comma 35" xfId="404"/>
    <cellStyle name="Comma 36" xfId="405"/>
    <cellStyle name="Comma 37" xfId="406"/>
    <cellStyle name="Comma 38" xfId="407"/>
    <cellStyle name="Comma 39" xfId="408"/>
    <cellStyle name="Comma 4" xfId="128"/>
    <cellStyle name="Comma 4 2" xfId="425"/>
    <cellStyle name="Comma 4 3" xfId="426"/>
    <cellStyle name="Comma 4 4" xfId="185"/>
    <cellStyle name="Comma 40" xfId="409"/>
    <cellStyle name="Comma 41" xfId="410"/>
    <cellStyle name="Comma 42" xfId="411"/>
    <cellStyle name="Comma 43" xfId="412"/>
    <cellStyle name="Comma 44" xfId="413"/>
    <cellStyle name="Comma 45" xfId="414"/>
    <cellStyle name="Comma 46" xfId="415"/>
    <cellStyle name="Comma 47" xfId="416"/>
    <cellStyle name="Comma 48" xfId="417"/>
    <cellStyle name="Comma 49" xfId="418"/>
    <cellStyle name="Comma 5" xfId="129"/>
    <cellStyle name="Comma 5 2" xfId="186"/>
    <cellStyle name="Comma 50" xfId="419"/>
    <cellStyle name="Comma 51" xfId="420"/>
    <cellStyle name="Comma 52" xfId="421"/>
    <cellStyle name="Comma 53" xfId="429"/>
    <cellStyle name="Comma 53 2" xfId="437"/>
    <cellStyle name="Comma 54" xfId="432"/>
    <cellStyle name="Comma 54 2" xfId="438"/>
    <cellStyle name="Comma 55" xfId="433"/>
    <cellStyle name="Comma 55 2" xfId="439"/>
    <cellStyle name="Comma 56" xfId="434"/>
    <cellStyle name="Comma 57" xfId="435"/>
    <cellStyle name="Comma 58" xfId="466"/>
    <cellStyle name="Comma 59" xfId="99"/>
    <cellStyle name="Comma 6" xfId="130"/>
    <cellStyle name="Comma 6 2" xfId="187"/>
    <cellStyle name="Comma 60" xfId="469"/>
    <cellStyle name="Comma 61" xfId="440"/>
    <cellStyle name="Comma 62" xfId="454"/>
    <cellStyle name="Comma 63" xfId="460"/>
    <cellStyle name="Comma 64" xfId="453"/>
    <cellStyle name="Comma 65" xfId="461"/>
    <cellStyle name="Comma 66" xfId="449"/>
    <cellStyle name="Comma 67" xfId="465"/>
    <cellStyle name="Comma 68" xfId="446"/>
    <cellStyle name="Comma 69" xfId="444"/>
    <cellStyle name="Comma 7" xfId="188"/>
    <cellStyle name="Comma 70" xfId="443"/>
    <cellStyle name="Comma 71" xfId="448"/>
    <cellStyle name="Comma 72" xfId="459"/>
    <cellStyle name="Comma 73" xfId="456"/>
    <cellStyle name="Comma 74" xfId="457"/>
    <cellStyle name="Comma 75" xfId="452"/>
    <cellStyle name="Comma 76" xfId="441"/>
    <cellStyle name="Comma 77" xfId="455"/>
    <cellStyle name="Comma 78" xfId="442"/>
    <cellStyle name="Comma 79" xfId="471"/>
    <cellStyle name="Comma 8" xfId="334"/>
    <cellStyle name="Comma 8 2" xfId="335"/>
    <cellStyle name="Comma 8 3" xfId="336"/>
    <cellStyle name="Comma 80" xfId="488"/>
    <cellStyle name="Comma 81" xfId="473"/>
    <cellStyle name="Comma 82" xfId="486"/>
    <cellStyle name="Comma 83" xfId="491"/>
    <cellStyle name="Comma 84" xfId="493"/>
    <cellStyle name="Comma 85" xfId="497"/>
    <cellStyle name="Comma 86" xfId="485"/>
    <cellStyle name="Comma 87" xfId="476"/>
    <cellStyle name="Comma 88" xfId="503"/>
    <cellStyle name="Comma 89" xfId="102"/>
    <cellStyle name="Comma 9" xfId="337"/>
    <cellStyle name="Comma 90" xfId="501"/>
    <cellStyle name="Comma 91" xfId="495"/>
    <cellStyle name="Comma 92" xfId="492"/>
    <cellStyle name="Comma 93" xfId="513"/>
    <cellStyle name="Comma 94" xfId="509"/>
    <cellStyle name="Comma 95" xfId="494"/>
    <cellStyle name="Comma 96" xfId="499"/>
    <cellStyle name="Comma 97" xfId="516"/>
    <cellStyle name="Comma 98" xfId="515"/>
    <cellStyle name="Comma 99" xfId="507"/>
    <cellStyle name="Comma(3)" xfId="189"/>
    <cellStyle name="Comma(3) 2" xfId="338"/>
    <cellStyle name="Comma(3) 3" xfId="339"/>
    <cellStyle name="Comma0" xfId="190"/>
    <cellStyle name="Curren - Style3" xfId="191"/>
    <cellStyle name="Curren - Style3 2" xfId="340"/>
    <cellStyle name="Curren - Style3 3" xfId="341"/>
    <cellStyle name="Curren - Style4" xfId="192"/>
    <cellStyle name="Curren - Style4 2" xfId="342"/>
    <cellStyle name="Curren - Style4 3" xfId="343"/>
    <cellStyle name="Currency0" xfId="193"/>
    <cellStyle name="Date" xfId="194"/>
    <cellStyle name="Datum" xfId="195"/>
    <cellStyle name="Defl/Infl" xfId="196"/>
    <cellStyle name="Defl/Infl 2" xfId="344"/>
    <cellStyle name="Euro" xfId="197"/>
    <cellStyle name="Euro 2" xfId="345"/>
    <cellStyle name="Exogenous" xfId="198"/>
    <cellStyle name="Exogenous 2" xfId="346"/>
    <cellStyle name="Explanatory Text 2" xfId="199"/>
    <cellStyle name="Finanční0" xfId="200"/>
    <cellStyle name="Finanèní0" xfId="201"/>
    <cellStyle name="Fixed" xfId="202"/>
    <cellStyle name="Good 2" xfId="203"/>
    <cellStyle name="Grey" xfId="204"/>
    <cellStyle name="Grey 2" xfId="347"/>
    <cellStyle name="Grey 3" xfId="348"/>
    <cellStyle name="Heading 1 2" xfId="205"/>
    <cellStyle name="Heading 2 2" xfId="206"/>
    <cellStyle name="Heading 3 2" xfId="207"/>
    <cellStyle name="Heading 4 2" xfId="208"/>
    <cellStyle name="Hipervínculo_IIF" xfId="209"/>
    <cellStyle name="IMF" xfId="210"/>
    <cellStyle name="IMF 2" xfId="349"/>
    <cellStyle name="imf-one decimal" xfId="211"/>
    <cellStyle name="imf-zero decimal" xfId="212"/>
    <cellStyle name="Input [yellow]" xfId="213"/>
    <cellStyle name="Input [yellow] 2" xfId="350"/>
    <cellStyle name="Input [yellow] 3" xfId="351"/>
    <cellStyle name="Input 2" xfId="214"/>
    <cellStyle name="Input 3" xfId="215"/>
    <cellStyle name="Input 4" xfId="352"/>
    <cellStyle name="INSTAT" xfId="216"/>
    <cellStyle name="INSTAT 2" xfId="353"/>
    <cellStyle name="Label" xfId="217"/>
    <cellStyle name="Linked Cell 2" xfId="218"/>
    <cellStyle name="Měna0" xfId="219"/>
    <cellStyle name="Millares [0]_BALPROGRAMA2001R" xfId="220"/>
    <cellStyle name="Millares_BALPROGRAMA2001R" xfId="221"/>
    <cellStyle name="Milliers [0]_Encours - Apr rééch" xfId="222"/>
    <cellStyle name="Milliers_Encours - Apr rééch" xfId="223"/>
    <cellStyle name="Mìna0" xfId="224"/>
    <cellStyle name="Model" xfId="225"/>
    <cellStyle name="Model 2" xfId="354"/>
    <cellStyle name="MoF" xfId="226"/>
    <cellStyle name="MoF 2" xfId="355"/>
    <cellStyle name="Moneda [0]_BALPROGRAMA2001R" xfId="227"/>
    <cellStyle name="Moneda_BALPROGRAMA2001R" xfId="228"/>
    <cellStyle name="Monétaire [0]_Encours - Apr rééch" xfId="229"/>
    <cellStyle name="Monétaire_Encours - Apr rééch" xfId="230"/>
    <cellStyle name="Neutral" xfId="93" builtinId="28"/>
    <cellStyle name="Neutral 2" xfId="231"/>
    <cellStyle name="Normal" xfId="0" builtinId="0"/>
    <cellStyle name="Normal - Style1" xfId="232"/>
    <cellStyle name="Normal - Style2" xfId="233"/>
    <cellStyle name="Normal - Style5" xfId="234"/>
    <cellStyle name="Normal - Style5 2" xfId="356"/>
    <cellStyle name="Normal - Style5 3" xfId="357"/>
    <cellStyle name="Normal - Style6" xfId="235"/>
    <cellStyle name="Normal - Style6 2" xfId="358"/>
    <cellStyle name="Normal - Style6 3" xfId="359"/>
    <cellStyle name="Normal - Style7" xfId="236"/>
    <cellStyle name="Normal - Style7 2" xfId="360"/>
    <cellStyle name="Normal - Style7 3" xfId="361"/>
    <cellStyle name="Normal - Style8" xfId="237"/>
    <cellStyle name="Normal - Style8 2" xfId="362"/>
    <cellStyle name="Normal - Style8 3" xfId="363"/>
    <cellStyle name="Normal 10" xfId="10"/>
    <cellStyle name="Normal 10 2" xfId="427"/>
    <cellStyle name="Normal 10 3" xfId="124"/>
    <cellStyle name="Normal 100" xfId="118"/>
    <cellStyle name="Normal 101" xfId="119"/>
    <cellStyle name="Normal 102" xfId="445"/>
    <cellStyle name="Normal 103" xfId="462"/>
    <cellStyle name="Normal 104" xfId="463"/>
    <cellStyle name="Normal 105" xfId="447"/>
    <cellStyle name="Normal 106" xfId="450"/>
    <cellStyle name="Normal 107" xfId="458"/>
    <cellStyle name="Normal 108" xfId="470"/>
    <cellStyle name="Normal 109" xfId="489"/>
    <cellStyle name="Normal 11" xfId="11"/>
    <cellStyle name="Normal 11 2" xfId="238"/>
    <cellStyle name="Normal 110" xfId="472"/>
    <cellStyle name="Normal 111" xfId="487"/>
    <cellStyle name="Normal 112" xfId="477"/>
    <cellStyle name="Normal 113" xfId="479"/>
    <cellStyle name="Normal 114" xfId="482"/>
    <cellStyle name="Normal 115" xfId="483"/>
    <cellStyle name="Normal 116" xfId="73"/>
    <cellStyle name="Normal 117" xfId="484"/>
    <cellStyle name="Normal 118" xfId="504"/>
    <cellStyle name="Normal 119" xfId="101"/>
    <cellStyle name="Normal 12" xfId="12"/>
    <cellStyle name="Normal 120" xfId="502"/>
    <cellStyle name="Normal 121" xfId="100"/>
    <cellStyle name="Normal 122" xfId="490"/>
    <cellStyle name="Normal 123" xfId="103"/>
    <cellStyle name="Normal 124" xfId="500"/>
    <cellStyle name="Normal 125" xfId="474"/>
    <cellStyle name="Normal 126" xfId="505"/>
    <cellStyle name="Normal 127" xfId="508"/>
    <cellStyle name="Normal 128" xfId="521"/>
    <cellStyle name="Normal 129" xfId="498"/>
    <cellStyle name="Normal 13" xfId="13"/>
    <cellStyle name="Normal 130" xfId="478"/>
    <cellStyle name="Normal 131" xfId="518"/>
    <cellStyle name="Normal 132" xfId="517"/>
    <cellStyle name="Normal 133" xfId="506"/>
    <cellStyle name="Normal 134" xfId="475"/>
    <cellStyle name="Normal 135" xfId="520"/>
    <cellStyle name="Normal 136" xfId="522"/>
    <cellStyle name="Normal 137" xfId="121"/>
    <cellStyle name="Normal 138" xfId="523"/>
    <cellStyle name="Normal 139" xfId="528"/>
    <cellStyle name="Normal 14" xfId="14"/>
    <cellStyle name="Normal 140" xfId="529"/>
    <cellStyle name="Normal 141" xfId="120"/>
    <cellStyle name="Normal 142" xfId="532"/>
    <cellStyle name="Normal 143" xfId="534"/>
    <cellStyle name="Normal 15" xfId="15"/>
    <cellStyle name="Normal 15 2" xfId="365"/>
    <cellStyle name="Normal 16" xfId="16"/>
    <cellStyle name="Normal 17" xfId="17"/>
    <cellStyle name="Normal 18" xfId="18"/>
    <cellStyle name="Normal 19" xfId="19"/>
    <cellStyle name="Normal 19 2" xfId="366"/>
    <cellStyle name="Normal 2" xfId="2"/>
    <cellStyle name="Normal 2 2" xfId="1"/>
    <cellStyle name="Normal 2 2 2" xfId="72"/>
    <cellStyle name="Normal 2 2 2 2" xfId="367"/>
    <cellStyle name="Normal 2 2 2 3" xfId="139"/>
    <cellStyle name="Normal 2 2 3" xfId="368"/>
    <cellStyle name="Normal 2 2_gr11" xfId="239"/>
    <cellStyle name="Normal 2 3" xfId="71"/>
    <cellStyle name="normal 2 3 2" xfId="240"/>
    <cellStyle name="Normal 2 4" xfId="241"/>
    <cellStyle name="normal 2 5" xfId="242"/>
    <cellStyle name="Normal 2 6" xfId="133"/>
    <cellStyle name="Normal 2 7" xfId="430"/>
    <cellStyle name="Normal 2 8" xfId="431"/>
    <cellStyle name="Normal 20" xfId="20"/>
    <cellStyle name="Normal 21" xfId="21"/>
    <cellStyle name="Normal 22" xfId="22"/>
    <cellStyle name="Normal 23" xfId="23"/>
    <cellStyle name="Normal 24" xfId="24"/>
    <cellStyle name="Normal 25" xfId="25"/>
    <cellStyle name="Normal 26" xfId="26"/>
    <cellStyle name="Normal 27" xfId="27"/>
    <cellStyle name="Normal 28" xfId="28"/>
    <cellStyle name="Normal 29" xfId="29"/>
    <cellStyle name="Normal 3" xfId="3"/>
    <cellStyle name="Normal 3 2" xfId="137"/>
    <cellStyle name="Normal 3 3" xfId="243"/>
    <cellStyle name="Normal 3 4" xfId="244"/>
    <cellStyle name="Normal 3 4 2" xfId="125"/>
    <cellStyle name="Normal 3 5" xfId="369"/>
    <cellStyle name="Normal 3 6" xfId="134"/>
    <cellStyle name="Normal 30" xfId="30"/>
    <cellStyle name="Normal 31" xfId="31"/>
    <cellStyle name="Normal 32" xfId="32"/>
    <cellStyle name="Normal 33" xfId="33"/>
    <cellStyle name="Normal 33 2" xfId="370"/>
    <cellStyle name="Normal 34" xfId="34"/>
    <cellStyle name="Normal 35" xfId="35"/>
    <cellStyle name="Normal 36" xfId="36"/>
    <cellStyle name="Normal 37" xfId="37"/>
    <cellStyle name="Normal 38" xfId="38"/>
    <cellStyle name="Normal 39" xfId="39"/>
    <cellStyle name="Normal 4" xfId="4"/>
    <cellStyle name="Normal 4 2" xfId="140"/>
    <cellStyle name="Normal 4 3" xfId="135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5"/>
    <cellStyle name="Normal 5 2" xfId="136"/>
    <cellStyle name="Normal 5 2 2" xfId="303"/>
    <cellStyle name="Normal 5 3" xfId="245"/>
    <cellStyle name="Normal 5 4" xfId="301"/>
    <cellStyle name="Normal 5 4 2" xfId="308"/>
    <cellStyle name="Normal 5 4 2 2" xfId="310"/>
    <cellStyle name="Normal 5 4 2 2 2" xfId="312"/>
    <cellStyle name="Normal 5 5" xfId="302"/>
    <cellStyle name="Normal 5 6" xfId="304"/>
    <cellStyle name="Normal 5 6 2" xfId="305"/>
    <cellStyle name="Normal 5 6 2 2" xfId="306"/>
    <cellStyle name="Normal 5 6 2 2 2" xfId="307"/>
    <cellStyle name="Normal 5 6 2 2 2 2" xfId="309"/>
    <cellStyle name="Normal 5 6 2 2 2 2 2" xfId="311"/>
    <cellStyle name="Normal 5 6 2 2 2 2 2 2" xfId="422"/>
    <cellStyle name="Normal 5 6 2 2 2 2 3" xfId="313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" xfId="6"/>
    <cellStyle name="Normal 60" xfId="60"/>
    <cellStyle name="Normal 61" xfId="61"/>
    <cellStyle name="Normal 62" xfId="62"/>
    <cellStyle name="Normal 63" xfId="64"/>
    <cellStyle name="Normal 64" xfId="65"/>
    <cellStyle name="Normal 65" xfId="66"/>
    <cellStyle name="Normal 65 2" xfId="97"/>
    <cellStyle name="Normal 66" xfId="67"/>
    <cellStyle name="Normal 66 2" xfId="436"/>
    <cellStyle name="Normal 66 3" xfId="364"/>
    <cellStyle name="Normal 67" xfId="68"/>
    <cellStyle name="Normal 67 2" xfId="96"/>
    <cellStyle name="Normal 68" xfId="69"/>
    <cellStyle name="Normal 69" xfId="70"/>
    <cellStyle name="Normal 7" xfId="7"/>
    <cellStyle name="Normal 7 2" xfId="371"/>
    <cellStyle name="Normal 7 3" xfId="246"/>
    <cellStyle name="Normal 70" xfId="81"/>
    <cellStyle name="Normal 71" xfId="82"/>
    <cellStyle name="Normal 72" xfId="83"/>
    <cellStyle name="Normal 73" xfId="84"/>
    <cellStyle name="Normal 74" xfId="86"/>
    <cellStyle name="Normal 75" xfId="87"/>
    <cellStyle name="Normal 76" xfId="88"/>
    <cellStyle name="Normal 77" xfId="89"/>
    <cellStyle name="Normal 78" xfId="90"/>
    <cellStyle name="Normal 79" xfId="74"/>
    <cellStyle name="Normal 8" xfId="8"/>
    <cellStyle name="Normal 8 2" xfId="372"/>
    <cellStyle name="Normal 8 3" xfId="247"/>
    <cellStyle name="Normal 80" xfId="104"/>
    <cellStyle name="Normal 81" xfId="105"/>
    <cellStyle name="Normal 82" xfId="106"/>
    <cellStyle name="Normal 83" xfId="80"/>
    <cellStyle name="Normal 84" xfId="79"/>
    <cellStyle name="Normal 85" xfId="107"/>
    <cellStyle name="Normal 86" xfId="108"/>
    <cellStyle name="Normal 87" xfId="109"/>
    <cellStyle name="Normal 88" xfId="75"/>
    <cellStyle name="Normal 89" xfId="110"/>
    <cellStyle name="Normal 9" xfId="9"/>
    <cellStyle name="Normal 90" xfId="111"/>
    <cellStyle name="Normal 91" xfId="76"/>
    <cellStyle name="Normal 92" xfId="112"/>
    <cellStyle name="Normal 93" xfId="113"/>
    <cellStyle name="Normal 94" xfId="94"/>
    <cellStyle name="Normal 95" xfId="95"/>
    <cellStyle name="Normal 96" xfId="114"/>
    <cellStyle name="Normal 97" xfId="115"/>
    <cellStyle name="Normal 98" xfId="116"/>
    <cellStyle name="Normal 99" xfId="117"/>
    <cellStyle name="Normal Table" xfId="248"/>
    <cellStyle name="Normal Table 2" xfId="373"/>
    <cellStyle name="Normale 2" xfId="374"/>
    <cellStyle name="normálne__1_NDARJA  BUXHETIT Universiteteve _2007-2008 sipas Formulës.xls_Flori_PM" xfId="249"/>
    <cellStyle name="Note 2" xfId="250"/>
    <cellStyle name="Note 2 2" xfId="375"/>
    <cellStyle name="Note 3" xfId="376"/>
    <cellStyle name="Output 2" xfId="251"/>
    <cellStyle name="Output Amounts" xfId="252"/>
    <cellStyle name="Output Amounts 2" xfId="377"/>
    <cellStyle name="Percent" xfId="91" builtinId="5"/>
    <cellStyle name="Percent [2]" xfId="253"/>
    <cellStyle name="Percent [2] 2" xfId="378"/>
    <cellStyle name="Percent 10" xfId="451"/>
    <cellStyle name="Percent 11" xfId="512"/>
    <cellStyle name="Percent 12" xfId="123"/>
    <cellStyle name="Percent 13" xfId="525"/>
    <cellStyle name="Percent 14" xfId="526"/>
    <cellStyle name="Percent 15" xfId="531"/>
    <cellStyle name="Percent 18" xfId="379"/>
    <cellStyle name="Percent 2" xfId="85"/>
    <cellStyle name="Percent 2 2" xfId="254"/>
    <cellStyle name="Percent 2 3" xfId="141"/>
    <cellStyle name="Percent 3" xfId="255"/>
    <cellStyle name="Percent 3 2" xfId="380"/>
    <cellStyle name="Percent 4" xfId="256"/>
    <cellStyle name="Percent 5" xfId="381"/>
    <cellStyle name="Percent 6" xfId="428"/>
    <cellStyle name="Percent 7" xfId="467"/>
    <cellStyle name="Percent 8" xfId="468"/>
    <cellStyle name="Percent 9" xfId="464"/>
    <cellStyle name="percentage difference" xfId="257"/>
    <cellStyle name="percentage difference one decimal" xfId="258"/>
    <cellStyle name="percentage difference zero decimal" xfId="259"/>
    <cellStyle name="Percentuale 2" xfId="382"/>
    <cellStyle name="Pevný" xfId="260"/>
    <cellStyle name="Presentation" xfId="261"/>
    <cellStyle name="Presentation 2" xfId="383"/>
    <cellStyle name="Proj" xfId="262"/>
    <cellStyle name="Proj 2" xfId="384"/>
    <cellStyle name="Publication" xfId="263"/>
    <cellStyle name="STYL1 - Style1" xfId="264"/>
    <cellStyle name="Style 1" xfId="265"/>
    <cellStyle name="Style 1 2" xfId="385"/>
    <cellStyle name="Text" xfId="266"/>
    <cellStyle name="Text 2" xfId="386"/>
    <cellStyle name="Title 2" xfId="267"/>
    <cellStyle name="Total 2" xfId="268"/>
    <cellStyle name="Warning Text 2" xfId="269"/>
    <cellStyle name="WebAnchor1" xfId="270"/>
    <cellStyle name="WebAnchor2" xfId="271"/>
    <cellStyle name="WebAnchor3" xfId="272"/>
    <cellStyle name="WebAnchor4" xfId="273"/>
    <cellStyle name="WebAnchor5" xfId="274"/>
    <cellStyle name="WebAnchor6" xfId="275"/>
    <cellStyle name="WebAnchor7" xfId="276"/>
    <cellStyle name="Webexclude" xfId="277"/>
    <cellStyle name="Webexclude 2" xfId="387"/>
    <cellStyle name="WebFN" xfId="278"/>
    <cellStyle name="WebFN1" xfId="279"/>
    <cellStyle name="WebFN2" xfId="280"/>
    <cellStyle name="WebFN3" xfId="281"/>
    <cellStyle name="WebFN4" xfId="282"/>
    <cellStyle name="WebHR" xfId="283"/>
    <cellStyle name="WebHR 2" xfId="388"/>
    <cellStyle name="WebIndent1" xfId="284"/>
    <cellStyle name="WebIndent1 2" xfId="389"/>
    <cellStyle name="WebIndent1wFN3" xfId="285"/>
    <cellStyle name="WebIndent2" xfId="286"/>
    <cellStyle name="WebIndent2 2" xfId="390"/>
    <cellStyle name="WebNoBR" xfId="287"/>
    <cellStyle name="WebNoBR 2" xfId="391"/>
    <cellStyle name="Záhlaví 1" xfId="288"/>
    <cellStyle name="Záhlaví 2" xfId="289"/>
    <cellStyle name="zero" xfId="290"/>
    <cellStyle name="zero 2" xfId="392"/>
    <cellStyle name="zero 3" xfId="393"/>
    <cellStyle name="ДАТА" xfId="291"/>
    <cellStyle name="ДЕНЕЖНЫЙ_BOPENGC" xfId="292"/>
    <cellStyle name="ЗАГОЛОВОК1" xfId="293"/>
    <cellStyle name="ЗАГОЛОВОК2" xfId="294"/>
    <cellStyle name="ИТОГОВЫЙ" xfId="295"/>
    <cellStyle name="Обычный_BOPENGC" xfId="296"/>
    <cellStyle name="ПРОЦЕНТНЫЙ_BOPENGC" xfId="297"/>
    <cellStyle name="ТЕКСТ" xfId="298"/>
    <cellStyle name="ФИКСИРОВАННЫЙ" xfId="299"/>
    <cellStyle name="ФИНАНСОВЫЙ_BOPENGC" xfId="30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2" name="AutoShape 292" descr="mail?cmd=cookie">
          <a:extLst>
            <a:ext uri="{FF2B5EF4-FFF2-40B4-BE49-F238E27FC236}">
              <a16:creationId xmlns:a16="http://schemas.microsoft.com/office/drawing/2014/main" id="{51158BF7-8DF5-4AF1-A03D-1C53F4DB9AB6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3" name="AutoShape 292" descr="mail?cmd=cookie">
          <a:extLst>
            <a:ext uri="{FF2B5EF4-FFF2-40B4-BE49-F238E27FC236}">
              <a16:creationId xmlns:a16="http://schemas.microsoft.com/office/drawing/2014/main" id="{2356C69D-099E-48D0-8FFC-35DF368C664B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4" name="AutoShape 292" descr="mail?cmd=cookie">
          <a:extLst>
            <a:ext uri="{FF2B5EF4-FFF2-40B4-BE49-F238E27FC236}">
              <a16:creationId xmlns:a16="http://schemas.microsoft.com/office/drawing/2014/main" id="{D94DC1DB-F613-4659-85B7-56D4D164865C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5" name="AutoShape 292" descr="mail?cmd=cookie">
          <a:extLst>
            <a:ext uri="{FF2B5EF4-FFF2-40B4-BE49-F238E27FC236}">
              <a16:creationId xmlns:a16="http://schemas.microsoft.com/office/drawing/2014/main" id="{7E02EDD5-741E-4187-A0CB-09D97ABE55C3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6" name="AutoShape 292" descr="mail?cmd=cookie">
          <a:extLst>
            <a:ext uri="{FF2B5EF4-FFF2-40B4-BE49-F238E27FC236}">
              <a16:creationId xmlns:a16="http://schemas.microsoft.com/office/drawing/2014/main" id="{EC971FE9-B633-4D36-9504-1C07BF6E6DA8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7" name="AutoShape 292" descr="mail?cmd=cookie">
          <a:extLst>
            <a:ext uri="{FF2B5EF4-FFF2-40B4-BE49-F238E27FC236}">
              <a16:creationId xmlns:a16="http://schemas.microsoft.com/office/drawing/2014/main" id="{EC5D2707-96D6-4072-AEF0-E7D55F880DEA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8" name="AutoShape 292" descr="mail?cmd=cookie">
          <a:extLst>
            <a:ext uri="{FF2B5EF4-FFF2-40B4-BE49-F238E27FC236}">
              <a16:creationId xmlns:a16="http://schemas.microsoft.com/office/drawing/2014/main" id="{C03442E6-995B-4804-AC58-E607F0DA0C99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9" name="AutoShape 292" descr="mail?cmd=cookie">
          <a:extLst>
            <a:ext uri="{FF2B5EF4-FFF2-40B4-BE49-F238E27FC236}">
              <a16:creationId xmlns:a16="http://schemas.microsoft.com/office/drawing/2014/main" id="{93ED3466-8947-44C3-9691-570F775BA51B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10" name="AutoShape 292" descr="mail?cmd=cookie">
          <a:extLst>
            <a:ext uri="{FF2B5EF4-FFF2-40B4-BE49-F238E27FC236}">
              <a16:creationId xmlns:a16="http://schemas.microsoft.com/office/drawing/2014/main" id="{557A619A-D405-4033-A6A6-EF21CE12AF0A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11" name="AutoShape 292" descr="mail?cmd=cookie">
          <a:extLst>
            <a:ext uri="{FF2B5EF4-FFF2-40B4-BE49-F238E27FC236}">
              <a16:creationId xmlns:a16="http://schemas.microsoft.com/office/drawing/2014/main" id="{63EAF94C-0ABD-4469-91DC-10A850C240FE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12" name="AutoShape 292" descr="mail?cmd=cookie">
          <a:extLst>
            <a:ext uri="{FF2B5EF4-FFF2-40B4-BE49-F238E27FC236}">
              <a16:creationId xmlns:a16="http://schemas.microsoft.com/office/drawing/2014/main" id="{AEBB8175-BBDC-4E5C-8576-04DF49C5061F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13" name="AutoShape 292" descr="mail?cmd=cookie">
          <a:extLst>
            <a:ext uri="{FF2B5EF4-FFF2-40B4-BE49-F238E27FC236}">
              <a16:creationId xmlns:a16="http://schemas.microsoft.com/office/drawing/2014/main" id="{DF3A2015-9FC0-43BA-907E-3E5FAEB704D1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14" name="AutoShape 292" descr="mail?cmd=cookie">
          <a:extLst>
            <a:ext uri="{FF2B5EF4-FFF2-40B4-BE49-F238E27FC236}">
              <a16:creationId xmlns:a16="http://schemas.microsoft.com/office/drawing/2014/main" id="{2181B95A-CEEC-4C41-B3CB-C9D39A6A27C4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15" name="AutoShape 292" descr="mail?cmd=cookie">
          <a:extLst>
            <a:ext uri="{FF2B5EF4-FFF2-40B4-BE49-F238E27FC236}">
              <a16:creationId xmlns:a16="http://schemas.microsoft.com/office/drawing/2014/main" id="{714BB8A0-71CD-4DB2-9EB4-2E282FF2EC18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16" name="AutoShape 292" descr="mail?cmd=cookie">
          <a:extLst>
            <a:ext uri="{FF2B5EF4-FFF2-40B4-BE49-F238E27FC236}">
              <a16:creationId xmlns:a16="http://schemas.microsoft.com/office/drawing/2014/main" id="{E1B8B8F7-53D8-4577-B925-EEBDADFCF5BB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17" name="AutoShape 292" descr="mail?cmd=cookie">
          <a:extLst>
            <a:ext uri="{FF2B5EF4-FFF2-40B4-BE49-F238E27FC236}">
              <a16:creationId xmlns:a16="http://schemas.microsoft.com/office/drawing/2014/main" id="{4CB17635-199F-42B0-932A-DDCF2D81EE82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18" name="AutoShape 292" descr="mail?cmd=cookie">
          <a:extLst>
            <a:ext uri="{FF2B5EF4-FFF2-40B4-BE49-F238E27FC236}">
              <a16:creationId xmlns:a16="http://schemas.microsoft.com/office/drawing/2014/main" id="{B4D3D0AB-7691-4A6B-B579-AA7AAEB66A7A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19" name="AutoShape 292" descr="mail?cmd=cookie">
          <a:extLst>
            <a:ext uri="{FF2B5EF4-FFF2-40B4-BE49-F238E27FC236}">
              <a16:creationId xmlns:a16="http://schemas.microsoft.com/office/drawing/2014/main" id="{F5D58122-29BE-447A-BBED-C7149CE0489B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20" name="AutoShape 292" descr="mail?cmd=cookie">
          <a:extLst>
            <a:ext uri="{FF2B5EF4-FFF2-40B4-BE49-F238E27FC236}">
              <a16:creationId xmlns:a16="http://schemas.microsoft.com/office/drawing/2014/main" id="{29B17914-5812-4AFE-8689-270CFA0929A1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21" name="AutoShape 292" descr="mail?cmd=cookie">
          <a:extLst>
            <a:ext uri="{FF2B5EF4-FFF2-40B4-BE49-F238E27FC236}">
              <a16:creationId xmlns:a16="http://schemas.microsoft.com/office/drawing/2014/main" id="{12094FAE-A52D-41AE-B3EB-DFC0AAEE68C4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22" name="AutoShape 292" descr="mail?cmd=cookie">
          <a:extLst>
            <a:ext uri="{FF2B5EF4-FFF2-40B4-BE49-F238E27FC236}">
              <a16:creationId xmlns:a16="http://schemas.microsoft.com/office/drawing/2014/main" id="{525ABEB6-B32F-45FB-91B4-E1FD7E9E1B0C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23" name="AutoShape 292" descr="mail?cmd=cookie">
          <a:extLst>
            <a:ext uri="{FF2B5EF4-FFF2-40B4-BE49-F238E27FC236}">
              <a16:creationId xmlns:a16="http://schemas.microsoft.com/office/drawing/2014/main" id="{280672EC-75DE-4864-897A-C0EFA99E6766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24" name="AutoShape 292" descr="mail?cmd=cookie">
          <a:extLst>
            <a:ext uri="{FF2B5EF4-FFF2-40B4-BE49-F238E27FC236}">
              <a16:creationId xmlns:a16="http://schemas.microsoft.com/office/drawing/2014/main" id="{DC07486C-201C-466A-A42C-4F6F55C0AD61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25" name="AutoShape 292" descr="mail?cmd=cookie">
          <a:extLst>
            <a:ext uri="{FF2B5EF4-FFF2-40B4-BE49-F238E27FC236}">
              <a16:creationId xmlns:a16="http://schemas.microsoft.com/office/drawing/2014/main" id="{8A187068-FF94-4277-8A75-4097C0E86DFD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26" name="AutoShape 292" descr="mail?cmd=cookie">
          <a:extLst>
            <a:ext uri="{FF2B5EF4-FFF2-40B4-BE49-F238E27FC236}">
              <a16:creationId xmlns:a16="http://schemas.microsoft.com/office/drawing/2014/main" id="{76D222EB-62BC-432F-A7AA-D1251648429C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27" name="AutoShape 292" descr="mail?cmd=cookie">
          <a:extLst>
            <a:ext uri="{FF2B5EF4-FFF2-40B4-BE49-F238E27FC236}">
              <a16:creationId xmlns:a16="http://schemas.microsoft.com/office/drawing/2014/main" id="{3E068D3D-C20A-4847-9ED6-1E419376FD2F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28" name="AutoShape 292" descr="mail?cmd=cookie">
          <a:extLst>
            <a:ext uri="{FF2B5EF4-FFF2-40B4-BE49-F238E27FC236}">
              <a16:creationId xmlns:a16="http://schemas.microsoft.com/office/drawing/2014/main" id="{A9B3822B-60D7-4699-9ED1-23A19DA6514C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29" name="AutoShape 292" descr="mail?cmd=cookie">
          <a:extLst>
            <a:ext uri="{FF2B5EF4-FFF2-40B4-BE49-F238E27FC236}">
              <a16:creationId xmlns:a16="http://schemas.microsoft.com/office/drawing/2014/main" id="{2D877480-4501-44AF-8E7E-C5823DD6DB7F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30" name="AutoShape 292" descr="mail?cmd=cookie">
          <a:extLst>
            <a:ext uri="{FF2B5EF4-FFF2-40B4-BE49-F238E27FC236}">
              <a16:creationId xmlns:a16="http://schemas.microsoft.com/office/drawing/2014/main" id="{57BF6139-3D4C-42E4-AE51-71C820B85BF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31" name="AutoShape 292" descr="mail?cmd=cookie">
          <a:extLst>
            <a:ext uri="{FF2B5EF4-FFF2-40B4-BE49-F238E27FC236}">
              <a16:creationId xmlns:a16="http://schemas.microsoft.com/office/drawing/2014/main" id="{160A3C67-C06B-46CB-969B-57779FA3F2E3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32" name="AutoShape 292" descr="mail?cmd=cookie">
          <a:extLst>
            <a:ext uri="{FF2B5EF4-FFF2-40B4-BE49-F238E27FC236}">
              <a16:creationId xmlns:a16="http://schemas.microsoft.com/office/drawing/2014/main" id="{960877DA-DDFB-4976-B9E0-BBEFFC967289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33" name="AutoShape 292" descr="mail?cmd=cookie">
          <a:extLst>
            <a:ext uri="{FF2B5EF4-FFF2-40B4-BE49-F238E27FC236}">
              <a16:creationId xmlns:a16="http://schemas.microsoft.com/office/drawing/2014/main" id="{009E56FE-63AD-4EAE-8E33-359BFA559AD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34" name="AutoShape 292" descr="mail?cmd=cookie">
          <a:extLst>
            <a:ext uri="{FF2B5EF4-FFF2-40B4-BE49-F238E27FC236}">
              <a16:creationId xmlns:a16="http://schemas.microsoft.com/office/drawing/2014/main" id="{F3877482-3EED-4113-8DFF-144F00B60C57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35" name="AutoShape 292" descr="mail?cmd=cookie">
          <a:extLst>
            <a:ext uri="{FF2B5EF4-FFF2-40B4-BE49-F238E27FC236}">
              <a16:creationId xmlns:a16="http://schemas.microsoft.com/office/drawing/2014/main" id="{40427F53-648D-40BF-9AE7-2EF891C93E82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36" name="AutoShape 292" descr="mail?cmd=cookie">
          <a:extLst>
            <a:ext uri="{FF2B5EF4-FFF2-40B4-BE49-F238E27FC236}">
              <a16:creationId xmlns:a16="http://schemas.microsoft.com/office/drawing/2014/main" id="{E66C43F9-6391-4B60-9EF1-257660424B9C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37" name="AutoShape 292" descr="mail?cmd=cookie">
          <a:extLst>
            <a:ext uri="{FF2B5EF4-FFF2-40B4-BE49-F238E27FC236}">
              <a16:creationId xmlns:a16="http://schemas.microsoft.com/office/drawing/2014/main" id="{942BEB20-746A-45A7-A41E-6265C5568401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38" name="AutoShape 292" descr="mail?cmd=cookie">
          <a:extLst>
            <a:ext uri="{FF2B5EF4-FFF2-40B4-BE49-F238E27FC236}">
              <a16:creationId xmlns:a16="http://schemas.microsoft.com/office/drawing/2014/main" id="{16257D0A-10EF-4D33-9D41-8FF46613790E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39" name="AutoShape 292" descr="mail?cmd=cookie">
          <a:extLst>
            <a:ext uri="{FF2B5EF4-FFF2-40B4-BE49-F238E27FC236}">
              <a16:creationId xmlns:a16="http://schemas.microsoft.com/office/drawing/2014/main" id="{D364FEF9-9D38-4352-83FB-ADA44DA9CBDE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40" name="AutoShape 292" descr="mail?cmd=cookie">
          <a:extLst>
            <a:ext uri="{FF2B5EF4-FFF2-40B4-BE49-F238E27FC236}">
              <a16:creationId xmlns:a16="http://schemas.microsoft.com/office/drawing/2014/main" id="{A8D8912F-5A26-4B6F-BF33-CE559CA4B791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41" name="AutoShape 292" descr="mail?cmd=cookie">
          <a:extLst>
            <a:ext uri="{FF2B5EF4-FFF2-40B4-BE49-F238E27FC236}">
              <a16:creationId xmlns:a16="http://schemas.microsoft.com/office/drawing/2014/main" id="{D8B36936-8492-49CD-8E47-7BBB5AC25704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42" name="AutoShape 292" descr="mail?cmd=cookie">
          <a:extLst>
            <a:ext uri="{FF2B5EF4-FFF2-40B4-BE49-F238E27FC236}">
              <a16:creationId xmlns:a16="http://schemas.microsoft.com/office/drawing/2014/main" id="{B399F966-59F8-481D-9C52-D1F1E31FB23B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43" name="AutoShape 292" descr="mail?cmd=cookie">
          <a:extLst>
            <a:ext uri="{FF2B5EF4-FFF2-40B4-BE49-F238E27FC236}">
              <a16:creationId xmlns:a16="http://schemas.microsoft.com/office/drawing/2014/main" id="{4B998A2F-C987-4D70-A546-B2CBD740ED33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44" name="AutoShape 292" descr="mail?cmd=cookie">
          <a:extLst>
            <a:ext uri="{FF2B5EF4-FFF2-40B4-BE49-F238E27FC236}">
              <a16:creationId xmlns:a16="http://schemas.microsoft.com/office/drawing/2014/main" id="{CE9E0484-4816-4F34-AB7B-22A77F42323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45" name="AutoShape 292" descr="mail?cmd=cookie">
          <a:extLst>
            <a:ext uri="{FF2B5EF4-FFF2-40B4-BE49-F238E27FC236}">
              <a16:creationId xmlns:a16="http://schemas.microsoft.com/office/drawing/2014/main" id="{21832B0F-52F4-40F8-8B27-9CF6B5BF222E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46" name="AutoShape 292" descr="mail?cmd=cookie">
          <a:extLst>
            <a:ext uri="{FF2B5EF4-FFF2-40B4-BE49-F238E27FC236}">
              <a16:creationId xmlns:a16="http://schemas.microsoft.com/office/drawing/2014/main" id="{7DCA62BD-AFB9-487E-A5DB-36B8FEBE328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47" name="AutoShape 292" descr="mail?cmd=cookie">
          <a:extLst>
            <a:ext uri="{FF2B5EF4-FFF2-40B4-BE49-F238E27FC236}">
              <a16:creationId xmlns:a16="http://schemas.microsoft.com/office/drawing/2014/main" id="{F4EC5FB9-5815-42C4-80E2-436A2BC92DA1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48" name="AutoShape 292" descr="mail?cmd=cookie">
          <a:extLst>
            <a:ext uri="{FF2B5EF4-FFF2-40B4-BE49-F238E27FC236}">
              <a16:creationId xmlns:a16="http://schemas.microsoft.com/office/drawing/2014/main" id="{3BFA3D10-2B98-4E5B-8629-AA04E7EE8598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49" name="AutoShape 292" descr="mail?cmd=cookie">
          <a:extLst>
            <a:ext uri="{FF2B5EF4-FFF2-40B4-BE49-F238E27FC236}">
              <a16:creationId xmlns:a16="http://schemas.microsoft.com/office/drawing/2014/main" id="{8ABFE931-E806-401D-99D0-BD4DB68AEE56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50" name="AutoShape 292" descr="mail?cmd=cookie">
          <a:extLst>
            <a:ext uri="{FF2B5EF4-FFF2-40B4-BE49-F238E27FC236}">
              <a16:creationId xmlns:a16="http://schemas.microsoft.com/office/drawing/2014/main" id="{80D6A2FF-A71C-4AB4-AE40-687DCC1F8975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51" name="AutoShape 292" descr="mail?cmd=cookie">
          <a:extLst>
            <a:ext uri="{FF2B5EF4-FFF2-40B4-BE49-F238E27FC236}">
              <a16:creationId xmlns:a16="http://schemas.microsoft.com/office/drawing/2014/main" id="{B26EFEC8-FE4B-4653-BC3A-0C70C4B9513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52" name="AutoShape 292" descr="mail?cmd=cookie">
          <a:extLst>
            <a:ext uri="{FF2B5EF4-FFF2-40B4-BE49-F238E27FC236}">
              <a16:creationId xmlns:a16="http://schemas.microsoft.com/office/drawing/2014/main" id="{956FA632-BB4E-4EBD-B1E4-BC567724705F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53" name="AutoShape 292" descr="mail?cmd=cookie">
          <a:extLst>
            <a:ext uri="{FF2B5EF4-FFF2-40B4-BE49-F238E27FC236}">
              <a16:creationId xmlns:a16="http://schemas.microsoft.com/office/drawing/2014/main" id="{74CB4582-17D3-4219-A88D-F3BE8A1AF145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54" name="AutoShape 292" descr="mail?cmd=cookie">
          <a:extLst>
            <a:ext uri="{FF2B5EF4-FFF2-40B4-BE49-F238E27FC236}">
              <a16:creationId xmlns:a16="http://schemas.microsoft.com/office/drawing/2014/main" id="{E2800820-D634-462C-8ED5-17ED46F7BBBB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733425"/>
    <xdr:sp macro="" textlink="">
      <xdr:nvSpPr>
        <xdr:cNvPr id="55" name="AutoShape 292" descr="mail?cmd=cookie">
          <a:extLst>
            <a:ext uri="{FF2B5EF4-FFF2-40B4-BE49-F238E27FC236}">
              <a16:creationId xmlns:a16="http://schemas.microsoft.com/office/drawing/2014/main" id="{2901E7B6-7AB6-4407-8DE3-67F2E1B9363C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56" name="AutoShape 292" descr="mail?cmd=cookie">
          <a:extLst>
            <a:ext uri="{FF2B5EF4-FFF2-40B4-BE49-F238E27FC236}">
              <a16:creationId xmlns:a16="http://schemas.microsoft.com/office/drawing/2014/main" id="{16CF8054-9CDD-4278-A9B3-81B353DAAF5E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</xdr:row>
      <xdr:rowOff>0</xdr:rowOff>
    </xdr:from>
    <xdr:ext cx="9525" cy="971550"/>
    <xdr:sp macro="" textlink="">
      <xdr:nvSpPr>
        <xdr:cNvPr id="57" name="AutoShape 292" descr="mail?cmd=cookie">
          <a:extLst>
            <a:ext uri="{FF2B5EF4-FFF2-40B4-BE49-F238E27FC236}">
              <a16:creationId xmlns:a16="http://schemas.microsoft.com/office/drawing/2014/main" id="{ED07A5B3-1328-4B2F-AA78-801BF0683289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Njoftime\Keti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Njoftime\Copy%20of%20Copy%20of%20Arsela%20Monitorime%2012%20Mujori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Njoftime\Monitorimi%20viti%202025\604\Anekset%2060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Njoftime\okii%20%20Anekset-e-reja-12-Mujori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Aneksi 4 PMA"/>
      <sheetName val=" Aneksi 3.2 PMA"/>
      <sheetName val=" Aneksi 3.1 PMA"/>
      <sheetName val="Aneksi 3 Planif"/>
      <sheetName val="Aneksi 2.1 Arsimi Ushtarak"/>
      <sheetName val="Aneksi 2.1 Planif"/>
      <sheetName val="2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5">
          <cell r="F15">
            <v>584980000</v>
          </cell>
          <cell r="H15">
            <v>665980000</v>
          </cell>
          <cell r="K15">
            <v>665077065</v>
          </cell>
        </row>
        <row r="16">
          <cell r="F16">
            <v>110000000</v>
          </cell>
          <cell r="H16">
            <v>110000000</v>
          </cell>
          <cell r="K16">
            <v>107335094</v>
          </cell>
        </row>
        <row r="17">
          <cell r="F17">
            <v>399896000</v>
          </cell>
          <cell r="H17">
            <v>534896000</v>
          </cell>
          <cell r="K17">
            <v>521568122</v>
          </cell>
        </row>
        <row r="19">
          <cell r="H19">
            <v>0</v>
          </cell>
        </row>
        <row r="20">
          <cell r="F20">
            <v>275424000</v>
          </cell>
          <cell r="H20">
            <v>240424000</v>
          </cell>
          <cell r="K20">
            <v>240411100</v>
          </cell>
        </row>
        <row r="21">
          <cell r="F21">
            <v>33000000</v>
          </cell>
          <cell r="H21">
            <v>44963853</v>
          </cell>
          <cell r="K21">
            <v>44757814</v>
          </cell>
        </row>
        <row r="22">
          <cell r="N22">
            <v>98.927830260151865</v>
          </cell>
        </row>
        <row r="24">
          <cell r="F24">
            <v>120000000</v>
          </cell>
          <cell r="H24">
            <v>77669000</v>
          </cell>
          <cell r="K24">
            <v>77653696</v>
          </cell>
        </row>
        <row r="25">
          <cell r="N25">
            <v>99.9802958709395</v>
          </cell>
        </row>
        <row r="30">
          <cell r="F30">
            <v>1523300000</v>
          </cell>
          <cell r="N30">
            <v>98.976663731206429</v>
          </cell>
        </row>
        <row r="56">
          <cell r="H56">
            <v>1673932853</v>
          </cell>
          <cell r="K56">
            <v>1656802891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AN1 pa 1231 h "/>
      <sheetName val="SIFQI"/>
      <sheetName val="ME 231 HUAJ"/>
      <sheetName val="Produktet"/>
      <sheetName val="Sheet2"/>
      <sheetName val="####"/>
      <sheetName val="Buxheti 2024 dhe realizimi OKI"/>
      <sheetName val="Sheet1"/>
      <sheetName val="Aneksi 1.1"/>
      <sheetName val="Aneksi 1.2"/>
      <sheetName val="aneksi 1 relacioni"/>
      <sheetName val="Aneksi 1 dbmf"/>
      <sheetName val="aneksi 2 dbmf"/>
      <sheetName val="Aneksi 2PMA"/>
      <sheetName val="Forca e luftimit"/>
      <sheetName val="Mbështetja e Luftimit"/>
      <sheetName val="Mbështetja për Shëndetësinë"/>
      <sheetName val="Arsimi Ushtarak"/>
      <sheetName val="Mbështetje për Ushtarakët"/>
      <sheetName val="Emergjencat Civile "/>
      <sheetName val="Aneksi nr.1"/>
      <sheetName val="Aneksi nr.2 prog 10270"/>
      <sheetName val="Aneksi 2.1 Prog 10270"/>
      <sheetName val="ANEKSI 3.0 Prog 10270"/>
      <sheetName val="ANEKSI 3.1  Prog 10270"/>
      <sheetName val="ANEKSI 3.2  Prog 10270"/>
      <sheetName val="ANEKSI 4  Prog 10270"/>
      <sheetName val="Sheet12"/>
      <sheetName val="Sheet11"/>
      <sheetName val="Sheet10"/>
      <sheetName val="Sheet9"/>
      <sheetName val="Sheet8"/>
      <sheetName val="Sheet7"/>
      <sheetName val="ANEKSI 4  Prog 11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2">
          <cell r="G12">
            <v>4861643950</v>
          </cell>
          <cell r="H12">
            <v>4851623432</v>
          </cell>
        </row>
        <row r="13">
          <cell r="G13">
            <v>787160000</v>
          </cell>
          <cell r="H13">
            <v>784786628</v>
          </cell>
        </row>
        <row r="14">
          <cell r="G14">
            <v>3523090000</v>
          </cell>
          <cell r="H14">
            <v>3456990350.04</v>
          </cell>
        </row>
        <row r="15">
          <cell r="G15">
            <v>0</v>
          </cell>
          <cell r="H15">
            <v>0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66240873</v>
          </cell>
          <cell r="H18">
            <v>62271942</v>
          </cell>
        </row>
        <row r="22">
          <cell r="G22">
            <v>8836120000</v>
          </cell>
          <cell r="H22">
            <v>8225662187.0900002</v>
          </cell>
        </row>
        <row r="24">
          <cell r="G24">
            <v>11102400000</v>
          </cell>
          <cell r="H24">
            <v>0</v>
          </cell>
        </row>
      </sheetData>
      <sheetData sheetId="16">
        <row r="12">
          <cell r="G12">
            <v>3655358127</v>
          </cell>
          <cell r="H12">
            <v>3643746554</v>
          </cell>
        </row>
        <row r="13">
          <cell r="G13">
            <v>605980000</v>
          </cell>
          <cell r="H13">
            <v>600774044</v>
          </cell>
        </row>
        <row r="14">
          <cell r="G14">
            <v>3110504000</v>
          </cell>
          <cell r="H14">
            <v>3041395813</v>
          </cell>
        </row>
        <row r="15">
          <cell r="G15">
            <v>0</v>
          </cell>
          <cell r="H15">
            <v>0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288528999</v>
          </cell>
          <cell r="H18">
            <v>273641145</v>
          </cell>
        </row>
        <row r="22">
          <cell r="G22">
            <v>2317855000</v>
          </cell>
          <cell r="H22">
            <v>2069971158.73</v>
          </cell>
        </row>
      </sheetData>
      <sheetData sheetId="17">
        <row r="12">
          <cell r="G12">
            <v>702836000</v>
          </cell>
          <cell r="H12">
            <v>695375308</v>
          </cell>
        </row>
        <row r="13">
          <cell r="G13">
            <v>117000000</v>
          </cell>
          <cell r="H13">
            <v>114015591</v>
          </cell>
        </row>
        <row r="14">
          <cell r="G14">
            <v>898164000</v>
          </cell>
          <cell r="H14">
            <v>895915200</v>
          </cell>
        </row>
        <row r="15">
          <cell r="G15">
            <v>0</v>
          </cell>
          <cell r="H15">
            <v>0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4439960</v>
          </cell>
          <cell r="H18">
            <v>4406131</v>
          </cell>
        </row>
        <row r="22">
          <cell r="G22">
            <v>197000000</v>
          </cell>
          <cell r="H22">
            <v>193284800</v>
          </cell>
        </row>
      </sheetData>
      <sheetData sheetId="18">
        <row r="12">
          <cell r="G12">
            <v>503290000</v>
          </cell>
          <cell r="H12">
            <v>478323136</v>
          </cell>
        </row>
        <row r="13">
          <cell r="G13">
            <v>119700000</v>
          </cell>
          <cell r="H13">
            <v>117426725</v>
          </cell>
        </row>
        <row r="14">
          <cell r="G14">
            <v>107510000</v>
          </cell>
          <cell r="H14">
            <v>100983829</v>
          </cell>
        </row>
        <row r="15">
          <cell r="G15">
            <v>0</v>
          </cell>
          <cell r="H15">
            <v>0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259270855</v>
          </cell>
          <cell r="H18">
            <v>249232267</v>
          </cell>
        </row>
        <row r="22">
          <cell r="G22">
            <v>462031000</v>
          </cell>
          <cell r="H22">
            <v>396904849</v>
          </cell>
        </row>
      </sheetData>
      <sheetData sheetId="19">
        <row r="16">
          <cell r="G16">
            <v>5228958000</v>
          </cell>
          <cell r="H16">
            <v>5228958000</v>
          </cell>
        </row>
      </sheetData>
      <sheetData sheetId="20">
        <row r="12">
          <cell r="G12">
            <v>205402021</v>
          </cell>
          <cell r="H12">
            <v>202443357</v>
          </cell>
        </row>
        <row r="13">
          <cell r="G13">
            <v>35020000</v>
          </cell>
          <cell r="H13">
            <v>32774835</v>
          </cell>
        </row>
        <row r="14">
          <cell r="G14">
            <v>281000000</v>
          </cell>
          <cell r="H14">
            <v>236139724</v>
          </cell>
        </row>
        <row r="15">
          <cell r="G15">
            <v>0</v>
          </cell>
          <cell r="H15">
            <v>0</v>
          </cell>
        </row>
        <row r="16">
          <cell r="G16">
            <v>639272000</v>
          </cell>
          <cell r="H16">
            <v>590130885.82999992</v>
          </cell>
        </row>
        <row r="17">
          <cell r="G17">
            <v>11000000</v>
          </cell>
          <cell r="H17">
            <v>10978573</v>
          </cell>
        </row>
        <row r="18">
          <cell r="G18">
            <v>985460</v>
          </cell>
          <cell r="H18">
            <v>623755</v>
          </cell>
        </row>
        <row r="22">
          <cell r="G22">
            <v>1814180000</v>
          </cell>
          <cell r="H22">
            <v>1327225823.8899999</v>
          </cell>
        </row>
        <row r="24">
          <cell r="H24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ksi 1.2"/>
      <sheetName val="Aneksi nr.2"/>
      <sheetName val="aneksi 2.1"/>
      <sheetName val="aneksi 3.0"/>
      <sheetName val="aneksi 3.1"/>
      <sheetName val="aneksi 3.2"/>
      <sheetName val="ANEKSI 4"/>
    </sheetNames>
    <sheetDataSet>
      <sheetData sheetId="0"/>
      <sheetData sheetId="1">
        <row r="30">
          <cell r="N30">
            <v>100</v>
          </cell>
        </row>
      </sheetData>
      <sheetData sheetId="2"/>
      <sheetData sheetId="3">
        <row r="11">
          <cell r="E11">
            <v>22613</v>
          </cell>
          <cell r="L11">
            <v>2283025693</v>
          </cell>
        </row>
        <row r="12">
          <cell r="L12">
            <v>81125683</v>
          </cell>
        </row>
        <row r="13">
          <cell r="L13">
            <v>67079294</v>
          </cell>
        </row>
        <row r="14">
          <cell r="L14">
            <v>13991791</v>
          </cell>
        </row>
        <row r="15">
          <cell r="L15">
            <v>2783735539</v>
          </cell>
        </row>
        <row r="16">
          <cell r="L16">
            <v>5228958000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2"/>
      <sheetName val="Aneksi nr.1"/>
      <sheetName val="Aneksi nr.1.1"/>
      <sheetName val="Aneksi 1.2"/>
      <sheetName val="Aneksi 2.0 Planif"/>
      <sheetName val="Aneksi 2.0 Forcat e Luftimit"/>
      <sheetName val="Aneksi 2.0 MBSHT.LUFTIMIT"/>
      <sheetName val="Aneksi 2.0 Mbësht .Shëndetësinë"/>
      <sheetName val="Aneksi 2.0 Arsimi Ushtarak"/>
      <sheetName val="Aneksi 2.0 Mbeshtet. Ushtaraket"/>
      <sheetName val="Aneksi 2.0 Emergjencat Civile"/>
      <sheetName val="Aneksi 2.1 Planif"/>
      <sheetName val="Aneksi 2.1 Forcat e Luftimit"/>
      <sheetName val="Aneksi 2.1 MBSHT.LUFTIMIT"/>
      <sheetName val="Aneksi 2.1 Mbësht .Shëndetësinë"/>
      <sheetName val="Aneksi 2.1 Arsimi Ushtarak"/>
      <sheetName val="Aneksi 2.1 Mbeshtet. Ushtaraket"/>
      <sheetName val="Aneksi 2.1 Emergjencat Civile"/>
      <sheetName val="Aneksi 3 Planif"/>
      <sheetName val="Aneksi 3 Forcat e Luftimit"/>
      <sheetName val="Aneksi 3 MBSHT.LUFTIMIT"/>
      <sheetName val="Aneksi 3 Mbeshtet. Shendetesine"/>
      <sheetName val="Aneksi 3 Arsimimi Ushtarak"/>
      <sheetName val="Aneksi 3 Mbeshtet. Ushtaraket"/>
      <sheetName val="Aneksi 3  Emergjencat Civile"/>
      <sheetName val=" Aneksi 3.1 PMA"/>
      <sheetName val="Aneksi 3.1 Forcat e Luftimit"/>
      <sheetName val="Aneksi 3.1 MBSHT.LUFTIMIT"/>
      <sheetName val="Anek 3.1 Mbeshtet. Shendetesine"/>
      <sheetName val="Aneksi 3.1 Arsimimi Ushtarak"/>
      <sheetName val="Aneksi 3.1 Mbeshtet. Ushtaraket"/>
      <sheetName val="Aneksi 3.1  Emergjencat Civile"/>
      <sheetName val="Sheet1"/>
      <sheetName val=" Aneksi 3.2 PMA"/>
      <sheetName val="Aneksi 3.2 Forcat e Luftimit"/>
      <sheetName val="Aneksi 3.2 MBSHT.LUFTIMIT"/>
      <sheetName val="Anek 3.2 Mbeshtet. Shendetesine"/>
      <sheetName val="Aneksi 3.2 Arsimimi Ushtarak"/>
      <sheetName val="Aneksi 3.2 Mbeshtet. Ushtaraket"/>
      <sheetName val="Aneksi 3.2  Emergjencat Civile"/>
      <sheetName val=" Aneksi 4 PMA"/>
      <sheetName val="Aneksi 4.0 Forcat e Luftimit"/>
      <sheetName val="Aneksi 4 MBSHT.LUFTIMIT"/>
      <sheetName val="Anek 4 Mbeshtet. Shendetesine"/>
      <sheetName val="Aneksi 4 Arsimimi Ushtarak"/>
      <sheetName val="Aneksi 4 Mbeshtet. Ushtaraket"/>
      <sheetName val="Aneksi 4 Emergjencat Civ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1">
          <cell r="F41">
            <v>32188000</v>
          </cell>
          <cell r="H41">
            <v>45188000</v>
          </cell>
          <cell r="K41">
            <v>45188000</v>
          </cell>
        </row>
        <row r="42">
          <cell r="H42">
            <v>357250</v>
          </cell>
          <cell r="K42">
            <v>357244</v>
          </cell>
        </row>
        <row r="43">
          <cell r="H43">
            <v>140400</v>
          </cell>
          <cell r="K43">
            <v>140400</v>
          </cell>
        </row>
        <row r="44">
          <cell r="H44">
            <v>600000</v>
          </cell>
          <cell r="K44">
            <v>600000</v>
          </cell>
        </row>
        <row r="45">
          <cell r="H45">
            <v>31382750</v>
          </cell>
          <cell r="K45">
            <v>31368052</v>
          </cell>
        </row>
        <row r="46">
          <cell r="H46">
            <v>600</v>
          </cell>
          <cell r="K46">
            <v>0</v>
          </cell>
        </row>
        <row r="47">
          <cell r="F47">
            <v>18000000</v>
          </cell>
        </row>
        <row r="48">
          <cell r="F48">
            <v>69812000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I70"/>
  <sheetViews>
    <sheetView topLeftCell="A52" workbookViewId="0">
      <selection activeCell="D48" sqref="D48"/>
    </sheetView>
  </sheetViews>
  <sheetFormatPr defaultRowHeight="15"/>
  <cols>
    <col min="2" max="2" width="5.85546875" customWidth="1"/>
    <col min="3" max="3" width="31.5703125" style="142" customWidth="1"/>
    <col min="4" max="4" width="24.5703125" style="44" customWidth="1"/>
    <col min="5" max="5" width="19.5703125" style="44" customWidth="1"/>
    <col min="6" max="6" width="18.140625" style="44" customWidth="1"/>
    <col min="7" max="7" width="17.28515625" customWidth="1"/>
    <col min="8" max="8" width="18.140625" customWidth="1"/>
    <col min="9" max="9" width="19" customWidth="1"/>
  </cols>
  <sheetData>
    <row r="3" spans="1:6" ht="15.75" thickBot="1"/>
    <row r="4" spans="1:6" ht="18.75" thickBot="1">
      <c r="A4">
        <v>1</v>
      </c>
      <c r="B4" s="134" t="s">
        <v>523</v>
      </c>
      <c r="C4" s="143" t="s">
        <v>96</v>
      </c>
      <c r="D4" s="138" t="s">
        <v>524</v>
      </c>
      <c r="E4" s="138" t="s">
        <v>525</v>
      </c>
      <c r="F4" s="138" t="s">
        <v>526</v>
      </c>
    </row>
    <row r="5" spans="1:6" ht="15.75" thickBot="1">
      <c r="B5" s="135">
        <v>1</v>
      </c>
      <c r="C5" s="144" t="s">
        <v>28</v>
      </c>
      <c r="D5" s="139">
        <f>'Aneksi nr.1'!I12</f>
        <v>1673932853</v>
      </c>
      <c r="E5" s="139">
        <f>'Aneksi nr.1'!L12</f>
        <v>1656802891</v>
      </c>
      <c r="F5" s="140">
        <v>94</v>
      </c>
    </row>
    <row r="6" spans="1:6" ht="19.5" customHeight="1" thickBot="1">
      <c r="B6" s="135">
        <v>2</v>
      </c>
      <c r="C6" s="144" t="s">
        <v>185</v>
      </c>
      <c r="D6" s="139">
        <f>'Aneksi nr.1'!I13</f>
        <v>29176654823</v>
      </c>
      <c r="E6" s="139">
        <f>'Aneksi nr.1'!L13</f>
        <v>17381334540.09</v>
      </c>
      <c r="F6" s="140">
        <v>95</v>
      </c>
    </row>
    <row r="7" spans="1:6" ht="15.75" thickBot="1">
      <c r="B7" s="135">
        <v>3</v>
      </c>
      <c r="C7" s="144" t="s">
        <v>187</v>
      </c>
      <c r="D7" s="139">
        <f>'Aneksi nr.1'!I14</f>
        <v>9978226126</v>
      </c>
      <c r="E7" s="139">
        <f>'Aneksi nr.1'!L14</f>
        <v>9629528714.7299995</v>
      </c>
      <c r="F7" s="140">
        <v>96</v>
      </c>
    </row>
    <row r="8" spans="1:6" ht="15.75" thickBot="1">
      <c r="B8" s="135">
        <v>4</v>
      </c>
      <c r="C8" s="144" t="s">
        <v>189</v>
      </c>
      <c r="D8" s="139">
        <f>'Aneksi nr.1'!I15</f>
        <v>1919439960</v>
      </c>
      <c r="E8" s="139">
        <f>'Aneksi nr.1'!L15</f>
        <v>1902997030</v>
      </c>
      <c r="F8" s="140">
        <v>97</v>
      </c>
    </row>
    <row r="9" spans="1:6" ht="15.75" thickBot="1">
      <c r="B9" s="135">
        <v>5</v>
      </c>
      <c r="C9" s="144" t="s">
        <v>527</v>
      </c>
      <c r="D9" s="139">
        <f>'Aneksi nr.1'!I16</f>
        <v>1451801855</v>
      </c>
      <c r="E9" s="139">
        <f>'Aneksi nr.1'!L16</f>
        <v>1342870806</v>
      </c>
      <c r="F9" s="140">
        <v>98</v>
      </c>
    </row>
    <row r="10" spans="1:6" ht="15.75" thickBot="1">
      <c r="B10" s="135">
        <v>6</v>
      </c>
      <c r="C10" s="144" t="s">
        <v>193</v>
      </c>
      <c r="D10" s="139">
        <f>'Aneksi nr.1'!I17</f>
        <v>5228958000</v>
      </c>
      <c r="E10" s="139">
        <f>'Aneksi nr.1'!L17</f>
        <v>5228958000</v>
      </c>
      <c r="F10" s="140">
        <v>99</v>
      </c>
    </row>
    <row r="11" spans="1:6" ht="15.75" thickBot="1">
      <c r="B11" s="135">
        <v>7</v>
      </c>
      <c r="C11" s="144" t="s">
        <v>195</v>
      </c>
      <c r="D11" s="139">
        <f>'Aneksi nr.1'!I18</f>
        <v>3998909481</v>
      </c>
      <c r="E11" s="139">
        <f>'Aneksi nr.1'!L18</f>
        <v>2400316953.7199998</v>
      </c>
      <c r="F11" s="140">
        <v>100</v>
      </c>
    </row>
    <row r="12" spans="1:6" ht="15.75" thickBot="1">
      <c r="B12" s="137"/>
      <c r="C12" s="145" t="s">
        <v>528</v>
      </c>
      <c r="D12" s="141">
        <f>'Aneksi nr.1'!I19</f>
        <v>53427923098</v>
      </c>
      <c r="E12" s="141">
        <f>'Aneksi nr.1'!L19</f>
        <v>39542808935.540001</v>
      </c>
      <c r="F12" s="141">
        <f>'Aneksi nr.1'!O19</f>
        <v>74.011503054327463</v>
      </c>
    </row>
    <row r="14" spans="1:6" ht="15.75" thickBot="1"/>
    <row r="15" spans="1:6" ht="39" thickBot="1">
      <c r="A15">
        <v>2</v>
      </c>
      <c r="B15" s="193" t="s">
        <v>523</v>
      </c>
      <c r="C15" s="194" t="s">
        <v>548</v>
      </c>
      <c r="D15" s="194" t="s">
        <v>549</v>
      </c>
      <c r="E15" s="194" t="s">
        <v>550</v>
      </c>
      <c r="F15" s="194" t="s">
        <v>551</v>
      </c>
    </row>
    <row r="16" spans="1:6" ht="15.75" thickBot="1">
      <c r="B16" s="195">
        <v>1</v>
      </c>
      <c r="C16" s="136" t="s">
        <v>28</v>
      </c>
      <c r="D16" s="139">
        <f>'[1]2'!N22</f>
        <v>98.927830260151865</v>
      </c>
      <c r="E16" s="206">
        <f>'[1]2'!N25</f>
        <v>99.9802958709395</v>
      </c>
      <c r="F16" s="139">
        <f>'[1]2'!N30</f>
        <v>98.976663731206429</v>
      </c>
    </row>
    <row r="17" spans="1:6" ht="15.75" thickBot="1">
      <c r="B17" s="195">
        <v>2</v>
      </c>
      <c r="C17" s="136" t="s">
        <v>185</v>
      </c>
      <c r="D17" s="139">
        <f>'Aneksi 2.0 Forcat e Luftimit'!N22</f>
        <v>99.107368829964528</v>
      </c>
      <c r="E17" s="206">
        <f>'Aneksi 2.0 Forcat e Luftimit'!N25</f>
        <v>93.091336322843048</v>
      </c>
      <c r="F17" s="139">
        <f>'Aneksi 2.0 Forcat e Luftimit'!N30</f>
        <v>96.166258080038574</v>
      </c>
    </row>
    <row r="18" spans="1:6" ht="15.75" thickBot="1">
      <c r="B18" s="195">
        <v>3</v>
      </c>
      <c r="C18" s="136" t="s">
        <v>187</v>
      </c>
      <c r="D18" s="139">
        <f>'123'!N22</f>
        <v>98.68395971498262</v>
      </c>
      <c r="E18" s="206">
        <f>'123'!N25</f>
        <v>89.305463833156082</v>
      </c>
      <c r="F18" s="139">
        <f>'123'!N30</f>
        <v>96.505416825928521</v>
      </c>
    </row>
    <row r="19" spans="1:6" ht="15.75" thickBot="1">
      <c r="B19" s="195">
        <v>4</v>
      </c>
      <c r="C19" s="136" t="s">
        <v>189</v>
      </c>
      <c r="D19" s="139">
        <f>'Aneksi 2.0 Mbësht .Shëndetësinë'!N22</f>
        <v>99.261063938623437</v>
      </c>
      <c r="E19" s="206">
        <f>'Aneksi 2.0 Mbësht .Shëndetësinë'!N25</f>
        <v>98.114111675126907</v>
      </c>
      <c r="F19" s="139">
        <f>'Aneksi 2.0 Mbësht .Shëndetësinë'!N30</f>
        <v>99.143347521013368</v>
      </c>
    </row>
    <row r="20" spans="1:6" ht="15.75" thickBot="1">
      <c r="B20" s="195">
        <v>5</v>
      </c>
      <c r="C20" s="136" t="s">
        <v>527</v>
      </c>
      <c r="D20" s="139">
        <f>'Aneksi 2.0 Arsimi Ushtarak'!N22</f>
        <v>95.574238443301098</v>
      </c>
      <c r="E20" s="206">
        <f>'Aneksi 2.0 Arsimi Ushtarak'!N25</f>
        <v>85.904376329726801</v>
      </c>
      <c r="F20" s="139">
        <f>'Aneksi 2.0 Arsimi Ushtarak'!N33</f>
        <v>92.326741015589675</v>
      </c>
    </row>
    <row r="21" spans="1:6" ht="15.75" thickBot="1">
      <c r="B21" s="195">
        <v>6</v>
      </c>
      <c r="C21" s="136" t="s">
        <v>193</v>
      </c>
      <c r="D21" s="139">
        <f>'Aneksi 2.0 Mbeshtet. Ushtaraket'!N22</f>
        <v>100</v>
      </c>
      <c r="E21" s="206">
        <v>0</v>
      </c>
      <c r="F21" s="139">
        <f>'Aneksi 2.0 Mbeshtet. Ushtaraket'!N30</f>
        <v>100</v>
      </c>
    </row>
    <row r="22" spans="1:6" ht="15.75" thickBot="1">
      <c r="B22" s="195">
        <v>7</v>
      </c>
      <c r="C22" s="136" t="s">
        <v>195</v>
      </c>
      <c r="D22" s="207">
        <f>'Aneksi 2.0 Emergjencat Civile'!N22</f>
        <v>91.507623968565028</v>
      </c>
      <c r="E22" s="206">
        <f>'Aneksi 2.0 Emergjencat Civile'!N25</f>
        <v>73.15844205095415</v>
      </c>
      <c r="F22" s="139">
        <v>80.400000000000006</v>
      </c>
    </row>
    <row r="23" spans="1:6" ht="15.75" thickBot="1">
      <c r="B23" s="196"/>
      <c r="C23" s="197" t="s">
        <v>552</v>
      </c>
      <c r="D23" s="208">
        <v>99</v>
      </c>
      <c r="E23" s="208">
        <v>90</v>
      </c>
      <c r="F23" s="208">
        <v>96</v>
      </c>
    </row>
    <row r="24" spans="1:6">
      <c r="C24"/>
      <c r="D24"/>
      <c r="E24"/>
      <c r="F24"/>
    </row>
    <row r="25" spans="1:6" ht="15.75" thickBot="1"/>
    <row r="26" spans="1:6" ht="30">
      <c r="A26">
        <v>3</v>
      </c>
      <c r="B26" s="1016" t="s">
        <v>523</v>
      </c>
      <c r="C26" s="1018" t="s">
        <v>553</v>
      </c>
      <c r="D26" s="1018" t="s">
        <v>554</v>
      </c>
      <c r="E26" s="202" t="s">
        <v>555</v>
      </c>
      <c r="F26" s="1020" t="s">
        <v>557</v>
      </c>
    </row>
    <row r="27" spans="1:6" ht="15.75" thickBot="1">
      <c r="B27" s="1017"/>
      <c r="C27" s="1019"/>
      <c r="D27" s="1019"/>
      <c r="E27" s="203" t="s">
        <v>556</v>
      </c>
      <c r="F27" s="1021"/>
    </row>
    <row r="28" spans="1:6" ht="15.75" thickBot="1">
      <c r="B28" s="204">
        <v>1</v>
      </c>
      <c r="C28" s="205" t="s">
        <v>28</v>
      </c>
      <c r="D28" s="209">
        <f>'Aneksi nr.1'!H12</f>
        <v>2.8913054404449157</v>
      </c>
      <c r="E28" s="214">
        <f>'Aneksi nr.1'!M12</f>
        <v>4.1898968120873947</v>
      </c>
      <c r="F28" s="213">
        <f>E28-D28</f>
        <v>1.2985913716424791</v>
      </c>
    </row>
    <row r="29" spans="1:6" ht="15.75" thickBot="1">
      <c r="B29" s="204">
        <v>2</v>
      </c>
      <c r="C29" s="205" t="s">
        <v>185</v>
      </c>
      <c r="D29" s="209">
        <f>'Aneksi nr.1'!H13</f>
        <v>54.765986662299625</v>
      </c>
      <c r="E29" s="214">
        <f>'Aneksi nr.1'!M13</f>
        <v>43.955740646608774</v>
      </c>
      <c r="F29" s="213">
        <f t="shared" ref="F29:F34" si="0">E29-D29</f>
        <v>-10.810246015690851</v>
      </c>
    </row>
    <row r="30" spans="1:6" ht="15.75" thickBot="1">
      <c r="B30" s="204">
        <v>3</v>
      </c>
      <c r="C30" s="205" t="s">
        <v>187</v>
      </c>
      <c r="D30" s="209">
        <f>'Aneksi nr.1'!H14</f>
        <v>15.779349265141876</v>
      </c>
      <c r="E30" s="214">
        <f>'Aneksi nr.1'!M14</f>
        <v>24.352161553387376</v>
      </c>
      <c r="F30" s="213">
        <f t="shared" si="0"/>
        <v>8.5728122882454993</v>
      </c>
    </row>
    <row r="31" spans="1:6" ht="15.75" thickBot="1">
      <c r="B31" s="204">
        <v>4</v>
      </c>
      <c r="C31" s="205" t="s">
        <v>189</v>
      </c>
      <c r="D31" s="209">
        <f>'Aneksi nr.1'!H15</f>
        <v>3.6176906515381142</v>
      </c>
      <c r="E31" s="214">
        <f>'Aneksi nr.1'!M15</f>
        <v>4.8124983561540517</v>
      </c>
      <c r="F31" s="213">
        <f t="shared" si="0"/>
        <v>1.1948077046159375</v>
      </c>
    </row>
    <row r="32" spans="1:6" ht="15.75" thickBot="1">
      <c r="B32" s="204">
        <v>5</v>
      </c>
      <c r="C32" s="205" t="s">
        <v>527</v>
      </c>
      <c r="D32" s="209">
        <f>'Aneksi nr.1'!H16</f>
        <v>2.70852285401096</v>
      </c>
      <c r="E32" s="214">
        <f>'Aneksi nr.1'!M16</f>
        <v>3.3959924500787406</v>
      </c>
      <c r="F32" s="213">
        <f t="shared" si="0"/>
        <v>0.68746959606778058</v>
      </c>
    </row>
    <row r="33" spans="1:9" ht="15.75" thickBot="1">
      <c r="B33" s="204">
        <v>6</v>
      </c>
      <c r="C33" s="205" t="s">
        <v>193</v>
      </c>
      <c r="D33" s="209">
        <f>'Aneksi nr.1'!H17</f>
        <v>9.8698800566622218</v>
      </c>
      <c r="E33" s="214">
        <f>'Aneksi nr.1'!M17</f>
        <v>13.223537074778607</v>
      </c>
      <c r="F33" s="213">
        <f t="shared" si="0"/>
        <v>3.3536570181163849</v>
      </c>
    </row>
    <row r="34" spans="1:9" ht="15.75" thickBot="1">
      <c r="B34" s="204">
        <v>7</v>
      </c>
      <c r="C34" s="205" t="s">
        <v>195</v>
      </c>
      <c r="D34" s="209">
        <f>'Aneksi nr.1'!H18</f>
        <v>10.367265069902288</v>
      </c>
      <c r="E34" s="214">
        <f>'Aneksi nr.1'!M18</f>
        <v>6.0701731069050595</v>
      </c>
      <c r="F34" s="213">
        <f t="shared" si="0"/>
        <v>-4.2970919629972286</v>
      </c>
    </row>
    <row r="35" spans="1:9">
      <c r="B35" s="210"/>
      <c r="C35" s="211" t="s">
        <v>528</v>
      </c>
      <c r="D35" s="212">
        <f>SUM(D28:D34)</f>
        <v>100.00000000000001</v>
      </c>
      <c r="E35" s="215">
        <f>SUM(E28:E34)</f>
        <v>100</v>
      </c>
      <c r="F35" s="73"/>
    </row>
    <row r="37" spans="1:9" ht="15.75" thickBot="1"/>
    <row r="38" spans="1:9" ht="18.75" thickBot="1">
      <c r="A38">
        <v>4</v>
      </c>
      <c r="B38" s="216" t="s">
        <v>558</v>
      </c>
      <c r="C38" s="217" t="s">
        <v>559</v>
      </c>
      <c r="D38" s="217" t="s">
        <v>560</v>
      </c>
      <c r="E38" s="217" t="s">
        <v>561</v>
      </c>
      <c r="F38" s="217" t="s">
        <v>562</v>
      </c>
      <c r="G38" s="218" t="s">
        <v>561</v>
      </c>
      <c r="H38" s="217" t="s">
        <v>563</v>
      </c>
      <c r="I38" s="217" t="s">
        <v>563</v>
      </c>
    </row>
    <row r="39" spans="1:9" ht="15.75" thickBot="1">
      <c r="B39" s="219">
        <v>1</v>
      </c>
      <c r="C39" s="220" t="str">
        <f>'Aneksi nr.1'!D12</f>
        <v>Planifikimi, Menaxhimi dhe Administrimi</v>
      </c>
      <c r="D39" s="221">
        <f>'Aneksi nr.1'!I12/1000</f>
        <v>1673932.8529999999</v>
      </c>
      <c r="E39" s="225">
        <f>'Aneksi nr.1'!J12</f>
        <v>3.1330674223094803</v>
      </c>
      <c r="F39" s="221">
        <f>'Aneksi nr.1'!L12/1000</f>
        <v>1656802.8910000001</v>
      </c>
      <c r="G39" s="221">
        <f>'Aneksi nr.1'!M12</f>
        <v>4.1898968120873947</v>
      </c>
      <c r="H39" s="221">
        <f>I39</f>
        <v>98.976663731206429</v>
      </c>
      <c r="I39" s="221">
        <f>'Aneksi nr.1'!O12</f>
        <v>98.976663731206429</v>
      </c>
    </row>
    <row r="40" spans="1:9" ht="15.75" thickBot="1">
      <c r="B40" s="219">
        <v>2</v>
      </c>
      <c r="C40" s="220" t="str">
        <f>'Aneksi nr.1'!D13</f>
        <v>Forcat e Luftimit</v>
      </c>
      <c r="D40" s="221">
        <f>'Aneksi nr.1'!I13/1000</f>
        <v>29176654.822999999</v>
      </c>
      <c r="E40" s="225">
        <f>'Aneksi nr.1'!J13</f>
        <v>54.609374894627315</v>
      </c>
      <c r="F40" s="221">
        <f>'Aneksi nr.1'!L13/1000</f>
        <v>17381334.540089998</v>
      </c>
      <c r="G40" s="221">
        <f>'Aneksi nr.1'!M13</f>
        <v>43.955740646608774</v>
      </c>
      <c r="H40" s="221">
        <v>96</v>
      </c>
      <c r="I40" s="221">
        <f>'Aneksi nr.1'!O13</f>
        <v>59.572746243645</v>
      </c>
    </row>
    <row r="41" spans="1:9" ht="15.75" thickBot="1">
      <c r="B41" s="219">
        <v>3</v>
      </c>
      <c r="C41" s="220" t="str">
        <f>'Aneksi nr.1'!D14</f>
        <v>Mbështetja e Luftimit</v>
      </c>
      <c r="D41" s="221">
        <f>'Aneksi nr.1'!I14/1000</f>
        <v>9978226.1260000002</v>
      </c>
      <c r="E41" s="225">
        <f>'Aneksi nr.1'!J14</f>
        <v>18.676050925089246</v>
      </c>
      <c r="F41" s="221">
        <f>'Aneksi nr.1'!L14/1000</f>
        <v>9629528.7147300001</v>
      </c>
      <c r="G41" s="221">
        <f>'Aneksi nr.1'!M14</f>
        <v>24.352161553387376</v>
      </c>
      <c r="H41" s="221">
        <f t="shared" ref="H41:H44" si="1">I41</f>
        <v>96.505416825928521</v>
      </c>
      <c r="I41" s="221">
        <f>'Aneksi nr.1'!O14</f>
        <v>96.505416825928521</v>
      </c>
    </row>
    <row r="42" spans="1:9" ht="15.75" thickBot="1">
      <c r="B42" s="219">
        <v>4</v>
      </c>
      <c r="C42" s="220" t="str">
        <f>'Aneksi nr.1'!D15</f>
        <v>Mbështetja për Shëndetësinë</v>
      </c>
      <c r="D42" s="221">
        <f>'Aneksi nr.1'!I15/1000</f>
        <v>1919439.96</v>
      </c>
      <c r="E42" s="225">
        <f>'Aneksi nr.1'!J15</f>
        <v>3.5925782787387659</v>
      </c>
      <c r="F42" s="221">
        <f>'Aneksi nr.1'!L15/1000</f>
        <v>1902997.03</v>
      </c>
      <c r="G42" s="221">
        <f>'Aneksi nr.1'!M15</f>
        <v>4.8124983561540517</v>
      </c>
      <c r="H42" s="221">
        <f t="shared" si="1"/>
        <v>99.143347521013368</v>
      </c>
      <c r="I42" s="221">
        <f>'Aneksi nr.1'!O15</f>
        <v>99.143347521013368</v>
      </c>
    </row>
    <row r="43" spans="1:9" ht="15.75" thickBot="1">
      <c r="B43" s="219">
        <v>5</v>
      </c>
      <c r="C43" s="220" t="str">
        <f>'Aneksi nr.1'!D16</f>
        <v>Arsimi Ushtarak</v>
      </c>
      <c r="D43" s="221">
        <f>'Aneksi nr.1'!I16/1000</f>
        <v>1451801.855</v>
      </c>
      <c r="E43" s="225">
        <f>'Aneksi nr.1'!J16</f>
        <v>2.7173091724659351</v>
      </c>
      <c r="F43" s="221">
        <f>'Aneksi nr.1'!L16/1000</f>
        <v>1342870.8060000001</v>
      </c>
      <c r="G43" s="221">
        <f>'Aneksi nr.1'!M16</f>
        <v>3.3959924500787406</v>
      </c>
      <c r="H43" s="221">
        <f t="shared" si="1"/>
        <v>92.496837731344542</v>
      </c>
      <c r="I43" s="221">
        <f>'Aneksi nr.1'!O16</f>
        <v>92.496837731344542</v>
      </c>
    </row>
    <row r="44" spans="1:9" ht="15.75" thickBot="1">
      <c r="B44" s="219">
        <v>6</v>
      </c>
      <c r="C44" s="220" t="str">
        <f>'Aneksi nr.1'!D17</f>
        <v>Mbështetje për Ushtarakët</v>
      </c>
      <c r="D44" s="221">
        <f>'Aneksi nr.1'!I17/1000</f>
        <v>5228958</v>
      </c>
      <c r="E44" s="225">
        <f>'Aneksi nr.1'!J17</f>
        <v>9.7869385459898943</v>
      </c>
      <c r="F44" s="221">
        <f>'Aneksi nr.1'!L17/1000</f>
        <v>5228958</v>
      </c>
      <c r="G44" s="221">
        <f>'Aneksi nr.1'!M17</f>
        <v>13.223537074778607</v>
      </c>
      <c r="H44" s="221">
        <f t="shared" si="1"/>
        <v>100</v>
      </c>
      <c r="I44" s="221">
        <f>'Aneksi nr.1'!O17</f>
        <v>100</v>
      </c>
    </row>
    <row r="45" spans="1:9" ht="15.75" thickBot="1">
      <c r="B45" s="219">
        <v>7</v>
      </c>
      <c r="C45" s="220" t="str">
        <f>'Aneksi nr.1'!D18</f>
        <v xml:space="preserve">Emergjencat Civile </v>
      </c>
      <c r="D45" s="221">
        <f>'Aneksi nr.1'!I18/1000</f>
        <v>3998909.4810000001</v>
      </c>
      <c r="E45" s="225">
        <f>'Aneksi nr.1'!J18</f>
        <v>7.484680760779364</v>
      </c>
      <c r="F45" s="221">
        <f>'Aneksi nr.1'!L18/1000</f>
        <v>2400316.9537199996</v>
      </c>
      <c r="G45" s="221">
        <f>'Aneksi nr.1'!M18</f>
        <v>6.0701731069050595</v>
      </c>
      <c r="H45" s="221">
        <f>'Aneksi 2.0 Emergjencat Civile'!N89</f>
        <v>80.362567074175658</v>
      </c>
      <c r="I45" s="221">
        <f>'Aneksi nr.1'!O18</f>
        <v>60.024288249699445</v>
      </c>
    </row>
    <row r="46" spans="1:9" ht="15.75" thickBot="1">
      <c r="B46" s="222"/>
      <c r="C46" s="223" t="s">
        <v>564</v>
      </c>
      <c r="D46" s="224">
        <f>'Aneksi nr.1'!I19/1000</f>
        <v>53427923.097999997</v>
      </c>
      <c r="E46" s="223">
        <f>'Aneksi nr.1'!J19</f>
        <v>100</v>
      </c>
      <c r="F46" s="224">
        <f>'Aneksi nr.1'!L19/1000</f>
        <v>39542808.935539998</v>
      </c>
      <c r="G46" s="223">
        <f>'Aneksi nr.1'!M19</f>
        <v>100</v>
      </c>
      <c r="H46" s="226">
        <v>96</v>
      </c>
      <c r="I46" s="226">
        <f>'Aneksi nr.1'!O19</f>
        <v>74.011503054327463</v>
      </c>
    </row>
    <row r="48" spans="1:9" ht="15.75" thickBot="1"/>
    <row r="49" spans="1:9" ht="18.75" thickBot="1">
      <c r="A49">
        <v>5</v>
      </c>
      <c r="B49" s="216" t="s">
        <v>523</v>
      </c>
      <c r="C49" s="217" t="s">
        <v>96</v>
      </c>
      <c r="D49" s="217" t="s">
        <v>81</v>
      </c>
      <c r="E49" s="217" t="s">
        <v>82</v>
      </c>
      <c r="F49" s="217" t="s">
        <v>120</v>
      </c>
    </row>
    <row r="50" spans="1:9" ht="15.75" thickBot="1">
      <c r="B50" s="219">
        <v>1</v>
      </c>
      <c r="C50" s="220" t="str">
        <f>'Aneksi nr.1'!D12</f>
        <v>Planifikimi, Menaxhimi dhe Administrimi</v>
      </c>
      <c r="D50" s="221">
        <f>'Aneksi nr.1'!G12/1000</f>
        <v>1523300</v>
      </c>
      <c r="E50" s="225">
        <f>'Aneksi nr.1'!I12/1000</f>
        <v>1673932.8529999999</v>
      </c>
      <c r="F50" s="221">
        <f>'Aneksi nr.1'!K12/1000</f>
        <v>150632.853</v>
      </c>
    </row>
    <row r="51" spans="1:9" ht="15.75" thickBot="1">
      <c r="B51" s="219">
        <v>2</v>
      </c>
      <c r="C51" s="220" t="str">
        <f>'Aneksi nr.1'!D13</f>
        <v>Forcat e Luftimit</v>
      </c>
      <c r="D51" s="221">
        <f>'Aneksi nr.1'!G13/1000</f>
        <v>28853758</v>
      </c>
      <c r="E51" s="225">
        <f>('Aneksi 2.0 Forcat e Luftimit'!H22+'Aneksi 2.0 Forcat e Luftimit'!H25)/1000</f>
        <v>18074254.822999999</v>
      </c>
      <c r="F51" s="221">
        <f>('Aneksi 2.0 Forcat e Luftimit'!J22+'Aneksi 2.0 Forcat e Luftimit'!J25)/1000</f>
        <v>1785877.0275496759</v>
      </c>
      <c r="G51" s="132">
        <f>D51-E51</f>
        <v>10779503.177000001</v>
      </c>
      <c r="H51" s="132">
        <f>D51-E51</f>
        <v>10779503.177000001</v>
      </c>
      <c r="I51" s="132"/>
    </row>
    <row r="52" spans="1:9" ht="15.75" thickBot="1">
      <c r="B52" s="219">
        <v>3</v>
      </c>
      <c r="C52" s="220" t="str">
        <f>'Aneksi nr.1'!D14</f>
        <v>Mbështetja e Luftimit</v>
      </c>
      <c r="D52" s="221">
        <f>'Aneksi nr.1'!G14/1000</f>
        <v>8313436</v>
      </c>
      <c r="E52" s="225">
        <f>'Aneksi nr.1'!I14/1000</f>
        <v>9978226.1260000002</v>
      </c>
      <c r="F52" s="221">
        <f>'Aneksi nr.1'!K14/1000</f>
        <v>1664790.1259999999</v>
      </c>
    </row>
    <row r="53" spans="1:9" ht="15.75" thickBot="1">
      <c r="B53" s="219">
        <v>4</v>
      </c>
      <c r="C53" s="220" t="str">
        <f>'Aneksi nr.1'!D15</f>
        <v>Mbështetja për Shëndetësinë</v>
      </c>
      <c r="D53" s="221">
        <f>'Aneksi nr.1'!G15/1000</f>
        <v>1906000</v>
      </c>
      <c r="E53" s="225">
        <f>'Aneksi nr.1'!I15/1000</f>
        <v>1919439.96</v>
      </c>
      <c r="F53" s="221">
        <f>'Aneksi nr.1'!K15/1000</f>
        <v>13439.96</v>
      </c>
    </row>
    <row r="54" spans="1:9" ht="15.75" thickBot="1">
      <c r="B54" s="219">
        <v>5</v>
      </c>
      <c r="C54" s="220" t="str">
        <f>'Aneksi nr.1'!D16</f>
        <v>Arsimi Ushtarak</v>
      </c>
      <c r="D54" s="221">
        <f>'Aneksi nr.1'!G16/1000</f>
        <v>1427000</v>
      </c>
      <c r="E54" s="225">
        <f>'Aneksi nr.1'!I16/1000</f>
        <v>1451801.855</v>
      </c>
      <c r="F54" s="221">
        <f>'Aneksi nr.1'!K16/1000</f>
        <v>24801.855</v>
      </c>
    </row>
    <row r="55" spans="1:9" ht="15.75" thickBot="1">
      <c r="B55" s="219">
        <v>6</v>
      </c>
      <c r="C55" s="220" t="str">
        <f>'Aneksi nr.1'!D17</f>
        <v>Mbështetje për Ushtarakët</v>
      </c>
      <c r="D55" s="221">
        <f>'Aneksi nr.1'!G17/1000</f>
        <v>5200000</v>
      </c>
      <c r="E55" s="225">
        <f>'Aneksi nr.1'!I17/1000</f>
        <v>5228958</v>
      </c>
      <c r="F55" s="221">
        <f>'Aneksi nr.1'!K17/1000</f>
        <v>28958</v>
      </c>
    </row>
    <row r="56" spans="1:9" ht="15.75" thickBot="1">
      <c r="B56" s="219">
        <v>7</v>
      </c>
      <c r="C56" s="220" t="str">
        <f>'Aneksi nr.1'!D18</f>
        <v xml:space="preserve">Emergjencat Civile </v>
      </c>
      <c r="D56" s="221">
        <f>'Aneksi nr.1'!G18/1000</f>
        <v>5462050</v>
      </c>
      <c r="E56" s="225">
        <f>'Aneksi nr.1'!I18/1000</f>
        <v>3998909.4810000001</v>
      </c>
      <c r="F56" s="221">
        <f>'Aneksi nr.1'!K18/1000</f>
        <v>-1463140.5190000001</v>
      </c>
    </row>
    <row r="57" spans="1:9" ht="15.75" thickBot="1">
      <c r="B57" s="222"/>
      <c r="C57" s="223" t="s">
        <v>565</v>
      </c>
      <c r="D57" s="306">
        <f>SUM(D50:D56)</f>
        <v>52685544</v>
      </c>
      <c r="E57" s="306">
        <f t="shared" ref="E57:F57" si="2">SUM(E50:E56)</f>
        <v>42325523.097999997</v>
      </c>
      <c r="F57" s="306">
        <f t="shared" si="2"/>
        <v>2205359.302549676</v>
      </c>
    </row>
    <row r="60" spans="1:9" ht="15.75" thickBot="1"/>
    <row r="61" spans="1:9" ht="24" customHeight="1" thickBot="1">
      <c r="B61" s="277" t="s">
        <v>232</v>
      </c>
      <c r="C61" s="1011" t="s">
        <v>778</v>
      </c>
      <c r="D61" s="1013" t="s">
        <v>779</v>
      </c>
      <c r="E61" s="1014"/>
      <c r="F61" s="1014"/>
      <c r="G61" s="1015"/>
    </row>
    <row r="62" spans="1:9" ht="24" customHeight="1" thickBot="1">
      <c r="B62" s="276"/>
      <c r="C62" s="1012"/>
      <c r="D62" s="278" t="s">
        <v>790</v>
      </c>
      <c r="E62" s="278" t="s">
        <v>791</v>
      </c>
      <c r="F62" s="278" t="s">
        <v>780</v>
      </c>
      <c r="G62" s="217" t="s">
        <v>563</v>
      </c>
    </row>
    <row r="63" spans="1:9" ht="15.75" thickBot="1">
      <c r="B63" s="283">
        <v>1</v>
      </c>
      <c r="C63" s="136" t="s">
        <v>28</v>
      </c>
      <c r="D63" s="284">
        <v>6</v>
      </c>
      <c r="E63" s="284">
        <v>5</v>
      </c>
      <c r="F63" s="284" t="s">
        <v>781</v>
      </c>
      <c r="G63" s="285">
        <v>1</v>
      </c>
    </row>
    <row r="64" spans="1:9" ht="15.75" thickBot="1">
      <c r="B64" s="283">
        <v>2</v>
      </c>
      <c r="C64" s="136" t="s">
        <v>185</v>
      </c>
      <c r="D64" s="284">
        <v>22</v>
      </c>
      <c r="E64" s="284">
        <v>18</v>
      </c>
      <c r="F64" s="284" t="s">
        <v>782</v>
      </c>
      <c r="G64" s="285">
        <v>0.93</v>
      </c>
    </row>
    <row r="65" spans="2:7" ht="15.75" thickBot="1">
      <c r="B65" s="283">
        <v>3</v>
      </c>
      <c r="C65" s="136" t="s">
        <v>187</v>
      </c>
      <c r="D65" s="284">
        <v>35</v>
      </c>
      <c r="E65" s="284">
        <v>23</v>
      </c>
      <c r="F65" s="284" t="s">
        <v>783</v>
      </c>
      <c r="G65" s="285">
        <v>0.89</v>
      </c>
    </row>
    <row r="66" spans="2:7" ht="15.75" thickBot="1">
      <c r="B66" s="283">
        <v>4</v>
      </c>
      <c r="C66" s="136" t="s">
        <v>189</v>
      </c>
      <c r="D66" s="284">
        <v>2</v>
      </c>
      <c r="E66" s="284">
        <v>2</v>
      </c>
      <c r="F66" s="284" t="s">
        <v>784</v>
      </c>
      <c r="G66" s="285">
        <v>0.98</v>
      </c>
    </row>
    <row r="67" spans="2:7" ht="15.75" thickBot="1">
      <c r="B67" s="283">
        <v>5</v>
      </c>
      <c r="C67" s="136" t="s">
        <v>191</v>
      </c>
      <c r="D67" s="284">
        <v>7</v>
      </c>
      <c r="E67" s="284">
        <v>5</v>
      </c>
      <c r="F67" s="284" t="s">
        <v>785</v>
      </c>
      <c r="G67" s="285">
        <v>0.86</v>
      </c>
    </row>
    <row r="68" spans="2:7" ht="15.75" thickBot="1">
      <c r="B68" s="283">
        <v>6</v>
      </c>
      <c r="C68" s="136" t="s">
        <v>786</v>
      </c>
      <c r="D68" s="284">
        <v>22</v>
      </c>
      <c r="E68" s="284">
        <v>18</v>
      </c>
      <c r="F68" s="284" t="s">
        <v>787</v>
      </c>
      <c r="G68" s="285">
        <v>0.73</v>
      </c>
    </row>
    <row r="69" spans="2:7" ht="22.5" customHeight="1" thickBot="1">
      <c r="B69" s="279"/>
      <c r="C69" s="280" t="s">
        <v>788</v>
      </c>
      <c r="D69" s="281">
        <v>94</v>
      </c>
      <c r="E69" s="280">
        <v>71</v>
      </c>
      <c r="F69" s="281" t="s">
        <v>789</v>
      </c>
      <c r="G69" s="282">
        <v>0.9</v>
      </c>
    </row>
    <row r="70" spans="2:7" ht="22.5" customHeight="1"/>
  </sheetData>
  <mergeCells count="6">
    <mergeCell ref="C61:C62"/>
    <mergeCell ref="D61:G61"/>
    <mergeCell ref="B26:B27"/>
    <mergeCell ref="C26:C27"/>
    <mergeCell ref="D26:D27"/>
    <mergeCell ref="F26:F2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N147"/>
  <sheetViews>
    <sheetView topLeftCell="A6" workbookViewId="0">
      <selection activeCell="B9" sqref="B9:L9"/>
    </sheetView>
  </sheetViews>
  <sheetFormatPr defaultRowHeight="15"/>
  <cols>
    <col min="1" max="1" width="7.7109375" style="42" customWidth="1"/>
    <col min="2" max="2" width="30.140625" style="42" customWidth="1"/>
    <col min="3" max="3" width="13.42578125" style="42" customWidth="1"/>
    <col min="4" max="4" width="10" style="42" customWidth="1"/>
    <col min="5" max="5" width="13.42578125" style="42" customWidth="1"/>
    <col min="6" max="6" width="8.85546875" style="42" customWidth="1"/>
    <col min="7" max="7" width="13.42578125" style="53" customWidth="1"/>
    <col min="8" max="8" width="8.5703125" style="53" customWidth="1"/>
    <col min="9" max="10" width="13.42578125" style="53" customWidth="1"/>
    <col min="11" max="11" width="9.85546875" style="42" customWidth="1"/>
    <col min="12" max="13" width="13.42578125" style="42" customWidth="1"/>
    <col min="14" max="16384" width="9.140625" style="42"/>
  </cols>
  <sheetData>
    <row r="1" spans="1:14" ht="26.25" hidden="1" customHeight="1">
      <c r="A1" s="594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4" ht="26.25" hidden="1" customHeight="1">
      <c r="A2" s="1155" t="s">
        <v>112</v>
      </c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</row>
    <row r="3" spans="1:14" ht="26.25" hidden="1" customHeight="1">
      <c r="A3" s="1156" t="s">
        <v>196</v>
      </c>
      <c r="B3" s="1156"/>
      <c r="C3" s="1156"/>
      <c r="D3" s="1156"/>
      <c r="E3" s="1156"/>
      <c r="F3" s="1156"/>
      <c r="G3" s="1156"/>
      <c r="H3" s="1156"/>
      <c r="I3" s="1156"/>
      <c r="J3" s="1156"/>
      <c r="K3" s="1156"/>
      <c r="L3" s="1156"/>
      <c r="M3" s="1156"/>
    </row>
    <row r="4" spans="1:14" ht="26.25" hidden="1" customHeight="1">
      <c r="A4" s="1157" t="s">
        <v>1</v>
      </c>
      <c r="B4" s="1157"/>
      <c r="C4" s="1157"/>
      <c r="D4" s="1157"/>
      <c r="E4" s="1157"/>
      <c r="F4" s="1157"/>
      <c r="G4" s="1157"/>
      <c r="H4" s="1157"/>
      <c r="I4" s="1157"/>
      <c r="J4" s="1157"/>
      <c r="K4" s="1157"/>
      <c r="L4" s="1157"/>
      <c r="M4" s="1157"/>
    </row>
    <row r="5" spans="1:14" ht="26.25" hidden="1" customHeight="1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</row>
    <row r="6" spans="1:14" ht="15.75" customHeight="1">
      <c r="A6" s="131"/>
      <c r="B6" s="638"/>
      <c r="C6" s="337"/>
      <c r="D6" s="337"/>
      <c r="E6" s="337"/>
      <c r="F6" s="337"/>
      <c r="G6" s="337"/>
      <c r="H6" s="337"/>
      <c r="I6" s="337"/>
      <c r="J6" s="337"/>
      <c r="K6" s="639"/>
      <c r="L6" s="337"/>
      <c r="M6" s="337"/>
      <c r="N6" s="337"/>
    </row>
    <row r="7" spans="1:14" ht="15.75" customHeight="1">
      <c r="A7" s="131"/>
      <c r="B7" s="1090" t="s">
        <v>112</v>
      </c>
      <c r="C7" s="1090"/>
      <c r="D7" s="1090"/>
      <c r="E7" s="1090"/>
      <c r="F7" s="1090"/>
      <c r="G7" s="1090"/>
      <c r="H7" s="1090"/>
      <c r="I7" s="1090"/>
      <c r="J7" s="1090"/>
      <c r="K7" s="1090"/>
      <c r="L7" s="1090"/>
      <c r="M7" s="1090"/>
      <c r="N7" s="1090"/>
    </row>
    <row r="8" spans="1:14" ht="15.75" customHeight="1">
      <c r="A8" s="131"/>
      <c r="B8" s="1091" t="s">
        <v>196</v>
      </c>
      <c r="C8" s="1091"/>
      <c r="D8" s="1091"/>
      <c r="E8" s="1091"/>
      <c r="F8" s="1091"/>
      <c r="G8" s="1091"/>
      <c r="H8" s="1091"/>
      <c r="I8" s="1091"/>
      <c r="J8" s="1091"/>
      <c r="K8" s="1091"/>
      <c r="L8" s="1091"/>
      <c r="M8" s="1091"/>
      <c r="N8" s="1091"/>
    </row>
    <row r="9" spans="1:14" ht="15.75" customHeight="1" thickBot="1">
      <c r="A9" s="131"/>
      <c r="B9" s="1162" t="s">
        <v>811</v>
      </c>
      <c r="C9" s="1162"/>
      <c r="D9" s="1162"/>
      <c r="E9" s="1162"/>
      <c r="F9" s="1162"/>
      <c r="G9" s="1162"/>
      <c r="H9" s="1162"/>
      <c r="I9" s="1162"/>
      <c r="J9" s="1162"/>
      <c r="K9" s="1162"/>
      <c r="L9" s="1162"/>
      <c r="M9" s="963"/>
      <c r="N9" s="963"/>
    </row>
    <row r="10" spans="1:14" ht="16.5" customHeight="1" thickTop="1" thickBot="1">
      <c r="A10" s="1158" t="s">
        <v>113</v>
      </c>
      <c r="B10" s="1159" t="s">
        <v>197</v>
      </c>
      <c r="C10" s="1159"/>
      <c r="D10" s="1159"/>
      <c r="E10" s="1160" t="s">
        <v>3</v>
      </c>
      <c r="F10" s="1160"/>
      <c r="G10" s="1161" t="s">
        <v>221</v>
      </c>
      <c r="H10" s="1161"/>
      <c r="I10" s="1161"/>
      <c r="J10" s="1161"/>
      <c r="K10" s="1161"/>
      <c r="L10" s="1161"/>
      <c r="M10" s="1161"/>
    </row>
    <row r="11" spans="1:14" ht="6.75" customHeight="1" thickTop="1">
      <c r="A11" s="1158"/>
      <c r="B11" s="1159"/>
      <c r="C11" s="1159"/>
      <c r="D11" s="1159"/>
      <c r="E11" s="1160"/>
      <c r="F11" s="1160"/>
      <c r="G11" s="1161"/>
      <c r="H11" s="1161"/>
      <c r="I11" s="1161"/>
      <c r="J11" s="1161"/>
      <c r="K11" s="1161"/>
      <c r="L11" s="1161"/>
      <c r="M11" s="1161"/>
    </row>
    <row r="12" spans="1:14" ht="15.75" customHeight="1">
      <c r="A12" s="705" t="s">
        <v>114</v>
      </c>
      <c r="B12" s="1147" t="s">
        <v>187</v>
      </c>
      <c r="C12" s="1147"/>
      <c r="D12" s="1147"/>
      <c r="E12" s="1148" t="s">
        <v>115</v>
      </c>
      <c r="F12" s="1148"/>
      <c r="G12" s="1149" t="s">
        <v>186</v>
      </c>
      <c r="H12" s="1149"/>
      <c r="I12" s="1149"/>
      <c r="J12" s="1149"/>
      <c r="K12" s="1149"/>
      <c r="L12" s="1149"/>
      <c r="M12" s="1149"/>
    </row>
    <row r="13" spans="1:14" ht="16.5" customHeight="1" thickBot="1">
      <c r="A13" s="1150" t="s">
        <v>4</v>
      </c>
      <c r="B13" s="1150"/>
      <c r="C13" s="1151" t="s">
        <v>116</v>
      </c>
      <c r="D13" s="1151"/>
      <c r="E13" s="1151"/>
      <c r="F13" s="1151"/>
      <c r="G13" s="1151"/>
      <c r="H13" s="1151"/>
      <c r="I13" s="1151"/>
      <c r="J13" s="1151"/>
      <c r="K13" s="1151"/>
      <c r="L13" s="1151"/>
      <c r="M13" s="1151"/>
    </row>
    <row r="14" spans="1:14" ht="33" customHeight="1" thickTop="1" thickBot="1">
      <c r="A14" s="1150"/>
      <c r="B14" s="1150"/>
      <c r="C14" s="641" t="s">
        <v>117</v>
      </c>
      <c r="D14" s="642">
        <v>2024</v>
      </c>
      <c r="E14" s="1152" t="s">
        <v>6</v>
      </c>
      <c r="F14" s="1152"/>
      <c r="G14" s="1152" t="s">
        <v>6</v>
      </c>
      <c r="H14" s="1152"/>
      <c r="I14" s="643" t="s">
        <v>6</v>
      </c>
      <c r="J14" s="1152" t="s">
        <v>6</v>
      </c>
      <c r="K14" s="1152"/>
      <c r="L14" s="1153" t="s">
        <v>118</v>
      </c>
      <c r="M14" s="1154" t="s">
        <v>8</v>
      </c>
    </row>
    <row r="15" spans="1:14" ht="48" customHeight="1" thickTop="1" thickBot="1">
      <c r="A15" s="1150"/>
      <c r="B15" s="1150"/>
      <c r="C15" s="644" t="s">
        <v>119</v>
      </c>
      <c r="D15" s="645" t="s">
        <v>10</v>
      </c>
      <c r="E15" s="646" t="s">
        <v>182</v>
      </c>
      <c r="F15" s="647" t="s">
        <v>10</v>
      </c>
      <c r="G15" s="646" t="s">
        <v>183</v>
      </c>
      <c r="H15" s="647" t="s">
        <v>10</v>
      </c>
      <c r="I15" s="648" t="s">
        <v>120</v>
      </c>
      <c r="J15" s="646" t="s">
        <v>12</v>
      </c>
      <c r="K15" s="647" t="s">
        <v>10</v>
      </c>
      <c r="L15" s="1153"/>
      <c r="M15" s="1154"/>
    </row>
    <row r="16" spans="1:14" ht="26.25" customHeight="1" thickTop="1" thickBot="1">
      <c r="A16" s="1150"/>
      <c r="B16" s="1150"/>
      <c r="C16" s="650" t="s">
        <v>13</v>
      </c>
      <c r="D16" s="650" t="s">
        <v>14</v>
      </c>
      <c r="E16" s="650" t="s">
        <v>15</v>
      </c>
      <c r="F16" s="650" t="s">
        <v>16</v>
      </c>
      <c r="G16" s="650" t="s">
        <v>17</v>
      </c>
      <c r="H16" s="650" t="s">
        <v>18</v>
      </c>
      <c r="I16" s="650" t="s">
        <v>19</v>
      </c>
      <c r="J16" s="650" t="s">
        <v>20</v>
      </c>
      <c r="K16" s="650" t="s">
        <v>21</v>
      </c>
      <c r="L16" s="650" t="s">
        <v>22</v>
      </c>
      <c r="M16" s="706" t="s">
        <v>23</v>
      </c>
    </row>
    <row r="17" spans="1:13" ht="26.25" customHeight="1" thickTop="1">
      <c r="A17" s="1053" t="s">
        <v>32</v>
      </c>
      <c r="B17" s="1053"/>
      <c r="C17" s="604"/>
      <c r="D17" s="605"/>
      <c r="E17" s="604"/>
      <c r="F17" s="605"/>
      <c r="G17" s="604"/>
      <c r="H17" s="605"/>
      <c r="I17" s="606"/>
      <c r="J17" s="604"/>
      <c r="K17" s="605"/>
      <c r="L17" s="604"/>
      <c r="M17" s="607"/>
    </row>
    <row r="18" spans="1:13" ht="26.25" customHeight="1">
      <c r="A18" s="707" t="s">
        <v>25</v>
      </c>
      <c r="B18" s="708" t="s">
        <v>26</v>
      </c>
      <c r="C18" s="604"/>
      <c r="D18" s="605"/>
      <c r="E18" s="604"/>
      <c r="F18" s="605"/>
      <c r="G18" s="604"/>
      <c r="H18" s="605"/>
      <c r="I18" s="609"/>
      <c r="J18" s="604"/>
      <c r="K18" s="605"/>
      <c r="L18" s="604"/>
      <c r="M18" s="607"/>
    </row>
    <row r="19" spans="1:13">
      <c r="A19" s="709" t="s">
        <v>34</v>
      </c>
      <c r="B19" s="710" t="s">
        <v>35</v>
      </c>
      <c r="C19" s="711">
        <v>3044968328</v>
      </c>
      <c r="D19" s="664">
        <f>C19/C26*100</f>
        <v>49.822291976366046</v>
      </c>
      <c r="E19" s="711">
        <v>3188700000</v>
      </c>
      <c r="F19" s="664">
        <f>E19/E26*100</f>
        <v>47.205480555256187</v>
      </c>
      <c r="G19" s="711">
        <v>3655358127</v>
      </c>
      <c r="H19" s="664">
        <f>G19/G26*100</f>
        <v>47.717768067311781</v>
      </c>
      <c r="I19" s="711">
        <f>G19-E19</f>
        <v>466658127</v>
      </c>
      <c r="J19" s="711">
        <v>3643746554</v>
      </c>
      <c r="K19" s="664">
        <f>J19/J26*100</f>
        <v>48.200526651060073</v>
      </c>
      <c r="L19" s="711">
        <f>G19-J19</f>
        <v>11611573</v>
      </c>
      <c r="M19" s="712">
        <f>J19/G19*100</f>
        <v>99.682341029344514</v>
      </c>
    </row>
    <row r="20" spans="1:13">
      <c r="A20" s="709" t="s">
        <v>36</v>
      </c>
      <c r="B20" s="710" t="s">
        <v>37</v>
      </c>
      <c r="C20" s="711">
        <v>521075612</v>
      </c>
      <c r="D20" s="664">
        <f>C20/C26*100</f>
        <v>8.5259281826026356</v>
      </c>
      <c r="E20" s="711">
        <v>514300000</v>
      </c>
      <c r="F20" s="664">
        <f>E20/E26*100</f>
        <v>7.6136916767235094</v>
      </c>
      <c r="G20" s="711">
        <v>605980000</v>
      </c>
      <c r="H20" s="664">
        <f>G20/G26*100</f>
        <v>7.9105827907377551</v>
      </c>
      <c r="I20" s="711">
        <f t="shared" ref="I20:I28" si="0">G20-E20</f>
        <v>91680000</v>
      </c>
      <c r="J20" s="711">
        <v>600774043</v>
      </c>
      <c r="K20" s="664">
        <f>J20/J26*100</f>
        <v>7.9472117068893722</v>
      </c>
      <c r="L20" s="711">
        <f t="shared" ref="L20:L37" si="1">G20-J20</f>
        <v>5205957</v>
      </c>
      <c r="M20" s="712">
        <f t="shared" ref="M20:M25" si="2">J20/G20*100</f>
        <v>99.140902835077057</v>
      </c>
    </row>
    <row r="21" spans="1:13">
      <c r="A21" s="709" t="s">
        <v>38</v>
      </c>
      <c r="B21" s="710" t="s">
        <v>39</v>
      </c>
      <c r="C21" s="711">
        <v>1957084982.45</v>
      </c>
      <c r="D21" s="664">
        <f>C21/C26*100</f>
        <v>32.022158825615584</v>
      </c>
      <c r="E21" s="711">
        <v>2750686000</v>
      </c>
      <c r="F21" s="664">
        <f>E21/E26*100</f>
        <v>40.721126003266349</v>
      </c>
      <c r="G21" s="711">
        <v>3110504000</v>
      </c>
      <c r="H21" s="664">
        <f>G21/G26*100</f>
        <v>40.605134514209958</v>
      </c>
      <c r="I21" s="711">
        <f t="shared" si="0"/>
        <v>359818000</v>
      </c>
      <c r="J21" s="711">
        <v>3041395813</v>
      </c>
      <c r="K21" s="664">
        <f>J21/J26*100</f>
        <v>40.23245792987418</v>
      </c>
      <c r="L21" s="711">
        <f t="shared" si="1"/>
        <v>69108187</v>
      </c>
      <c r="M21" s="712">
        <f t="shared" si="2"/>
        <v>97.778231855673553</v>
      </c>
    </row>
    <row r="22" spans="1:13">
      <c r="A22" s="709" t="s">
        <v>40</v>
      </c>
      <c r="B22" s="710" t="s">
        <v>41</v>
      </c>
      <c r="C22" s="711">
        <v>0</v>
      </c>
      <c r="D22" s="664">
        <f>C22/C26*100</f>
        <v>0</v>
      </c>
      <c r="E22" s="711">
        <v>0</v>
      </c>
      <c r="F22" s="664">
        <f>E22/E26*100</f>
        <v>0</v>
      </c>
      <c r="G22" s="711">
        <v>0</v>
      </c>
      <c r="H22" s="664">
        <f>G22/G26*100</f>
        <v>0</v>
      </c>
      <c r="I22" s="711">
        <f t="shared" si="0"/>
        <v>0</v>
      </c>
      <c r="J22" s="711">
        <v>0</v>
      </c>
      <c r="K22" s="664">
        <f>J22/J26*100</f>
        <v>0</v>
      </c>
      <c r="L22" s="711">
        <f t="shared" si="1"/>
        <v>0</v>
      </c>
      <c r="M22" s="712">
        <v>0</v>
      </c>
    </row>
    <row r="23" spans="1:13">
      <c r="A23" s="709" t="s">
        <v>42</v>
      </c>
      <c r="B23" s="710" t="s">
        <v>43</v>
      </c>
      <c r="C23" s="711">
        <v>289176971</v>
      </c>
      <c r="D23" s="664">
        <f>C23/C26*100</f>
        <v>4.7315630016638837</v>
      </c>
      <c r="E23" s="711">
        <v>0</v>
      </c>
      <c r="F23" s="664">
        <f>E23/E26*100</f>
        <v>0</v>
      </c>
      <c r="G23" s="711">
        <v>0</v>
      </c>
      <c r="H23" s="664">
        <f>G23/G26*100</f>
        <v>0</v>
      </c>
      <c r="I23" s="711">
        <f t="shared" si="0"/>
        <v>0</v>
      </c>
      <c r="J23" s="711">
        <v>0</v>
      </c>
      <c r="K23" s="664">
        <f>J23/J26*100</f>
        <v>0</v>
      </c>
      <c r="L23" s="711">
        <f t="shared" si="1"/>
        <v>0</v>
      </c>
      <c r="M23" s="712">
        <v>0</v>
      </c>
    </row>
    <row r="24" spans="1:13">
      <c r="A24" s="709" t="s">
        <v>44</v>
      </c>
      <c r="B24" s="710" t="s">
        <v>45</v>
      </c>
      <c r="C24" s="711">
        <v>0</v>
      </c>
      <c r="D24" s="664">
        <f>C24/C26*100</f>
        <v>0</v>
      </c>
      <c r="E24" s="711">
        <v>0</v>
      </c>
      <c r="F24" s="664">
        <f>E24/E26*100</f>
        <v>0</v>
      </c>
      <c r="G24" s="711">
        <v>0</v>
      </c>
      <c r="H24" s="664">
        <f>G24/G26*100</f>
        <v>0</v>
      </c>
      <c r="I24" s="711">
        <f t="shared" si="0"/>
        <v>0</v>
      </c>
      <c r="J24" s="711">
        <v>0</v>
      </c>
      <c r="K24" s="664">
        <f>J24/J26*100</f>
        <v>0</v>
      </c>
      <c r="L24" s="711">
        <f t="shared" si="1"/>
        <v>0</v>
      </c>
      <c r="M24" s="712">
        <v>0</v>
      </c>
    </row>
    <row r="25" spans="1:13">
      <c r="A25" s="709" t="s">
        <v>46</v>
      </c>
      <c r="B25" s="710" t="s">
        <v>47</v>
      </c>
      <c r="C25" s="711">
        <v>299352577.50999999</v>
      </c>
      <c r="D25" s="664">
        <f>C25/C26*100</f>
        <v>4.8980580137518483</v>
      </c>
      <c r="E25" s="711">
        <v>301250000</v>
      </c>
      <c r="F25" s="664">
        <f>E25/E26*100</f>
        <v>4.4597017647539516</v>
      </c>
      <c r="G25" s="711">
        <v>288528999</v>
      </c>
      <c r="H25" s="664">
        <f>G25/G26*100</f>
        <v>3.7665146277405048</v>
      </c>
      <c r="I25" s="711">
        <f t="shared" si="0"/>
        <v>-12721001</v>
      </c>
      <c r="J25" s="711">
        <v>273641145</v>
      </c>
      <c r="K25" s="664">
        <f>J25/J26*100</f>
        <v>3.6198037121763802</v>
      </c>
      <c r="L25" s="711">
        <f>G25-J25</f>
        <v>14887854</v>
      </c>
      <c r="M25" s="712">
        <f t="shared" si="2"/>
        <v>94.840083994468785</v>
      </c>
    </row>
    <row r="26" spans="1:13">
      <c r="A26" s="713"/>
      <c r="B26" s="714" t="s">
        <v>121</v>
      </c>
      <c r="C26" s="715">
        <v>6111658470.96</v>
      </c>
      <c r="D26" s="676">
        <f>C26/C34*100</f>
        <v>90.536936169918079</v>
      </c>
      <c r="E26" s="680">
        <f>E19+E20+E21+E25</f>
        <v>6754936000</v>
      </c>
      <c r="F26" s="676">
        <f>E26/E34*100</f>
        <v>81.253238733058154</v>
      </c>
      <c r="G26" s="680">
        <f>G19+G20+G21+G25</f>
        <v>7660371126</v>
      </c>
      <c r="H26" s="676">
        <f>G26/G34*100</f>
        <v>76.770871187610922</v>
      </c>
      <c r="I26" s="680">
        <f t="shared" ref="I26" si="3">I19+I20+I21+I25</f>
        <v>905435126</v>
      </c>
      <c r="J26" s="680">
        <f>J19+J20+J21+J25</f>
        <v>7559557555</v>
      </c>
      <c r="K26" s="676">
        <f>J26/J34*100</f>
        <v>78.503920343310824</v>
      </c>
      <c r="L26" s="680">
        <f t="shared" ref="L26" si="4">L19+L20+L21+L25</f>
        <v>100813571</v>
      </c>
      <c r="M26" s="716">
        <v>34.299999999999997</v>
      </c>
    </row>
    <row r="27" spans="1:13">
      <c r="A27" s="709" t="s">
        <v>49</v>
      </c>
      <c r="B27" s="710" t="s">
        <v>50</v>
      </c>
      <c r="C27" s="711">
        <v>48599047</v>
      </c>
      <c r="D27" s="669">
        <f>C27/C29*100</f>
        <v>7.607863291164187</v>
      </c>
      <c r="E27" s="670">
        <v>12204000</v>
      </c>
      <c r="F27" s="669">
        <f>E27/E29*100</f>
        <v>0.78306063522617897</v>
      </c>
      <c r="G27" s="670">
        <v>136837000</v>
      </c>
      <c r="H27" s="669">
        <f>G27/G29*100</f>
        <v>5.9036048415453086</v>
      </c>
      <c r="I27" s="670">
        <f t="shared" si="0"/>
        <v>124633000</v>
      </c>
      <c r="J27" s="670">
        <v>126768609</v>
      </c>
      <c r="K27" s="669">
        <f>J27/J29*100</f>
        <v>6.1241727036927944</v>
      </c>
      <c r="L27" s="670">
        <f t="shared" si="1"/>
        <v>10068391</v>
      </c>
      <c r="M27" s="717">
        <f>J27/G27*100</f>
        <v>92.642055145903527</v>
      </c>
    </row>
    <row r="28" spans="1:13">
      <c r="A28" s="709" t="s">
        <v>51</v>
      </c>
      <c r="B28" s="710" t="s">
        <v>52</v>
      </c>
      <c r="C28" s="711">
        <v>590201167.20000005</v>
      </c>
      <c r="D28" s="669">
        <f>C28/C29*100</f>
        <v>92.392136708835821</v>
      </c>
      <c r="E28" s="670">
        <v>1546296000</v>
      </c>
      <c r="F28" s="669">
        <f>E28/E29*100</f>
        <v>99.216939364773822</v>
      </c>
      <c r="G28" s="670">
        <v>2181018000</v>
      </c>
      <c r="H28" s="669">
        <f>G28/G29*100</f>
        <v>94.096395158454698</v>
      </c>
      <c r="I28" s="670">
        <f t="shared" si="0"/>
        <v>634722000</v>
      </c>
      <c r="J28" s="670">
        <v>1943202555</v>
      </c>
      <c r="K28" s="669">
        <f>J28/J29*100</f>
        <v>93.875827296307207</v>
      </c>
      <c r="L28" s="670">
        <f t="shared" si="1"/>
        <v>237815445</v>
      </c>
      <c r="M28" s="717">
        <f>J28/G28*100</f>
        <v>89.096126441872556</v>
      </c>
    </row>
    <row r="29" spans="1:13">
      <c r="A29" s="713"/>
      <c r="B29" s="714" t="s">
        <v>122</v>
      </c>
      <c r="C29" s="715">
        <f t="shared" ref="C29" si="5">SUM(C27:C28)</f>
        <v>638800214.20000005</v>
      </c>
      <c r="D29" s="677">
        <f>C29/C34*100</f>
        <v>9.4630638300819268</v>
      </c>
      <c r="E29" s="680">
        <f>SUM(E27:E28)</f>
        <v>1558500000</v>
      </c>
      <c r="F29" s="677">
        <f>E29/E34*100</f>
        <v>18.746761266941853</v>
      </c>
      <c r="G29" s="680">
        <f>SUM(G27:G28)</f>
        <v>2317855000</v>
      </c>
      <c r="H29" s="677">
        <f>G29/G34*100</f>
        <v>23.229128812389071</v>
      </c>
      <c r="I29" s="680">
        <f>SUM(I27:I28)</f>
        <v>759355000</v>
      </c>
      <c r="J29" s="680">
        <f t="shared" ref="J29:L29" si="6">SUM(J27:J28)</f>
        <v>2069971164</v>
      </c>
      <c r="K29" s="677">
        <f>J29/J34*100</f>
        <v>21.496079656689169</v>
      </c>
      <c r="L29" s="680">
        <f t="shared" si="6"/>
        <v>247883836</v>
      </c>
      <c r="M29" s="716">
        <f t="shared" ref="M29:M33" si="7">J29/G29*100</f>
        <v>89.305464060521473</v>
      </c>
    </row>
    <row r="30" spans="1:13">
      <c r="A30" s="709" t="s">
        <v>49</v>
      </c>
      <c r="B30" s="710" t="s">
        <v>50</v>
      </c>
      <c r="C30" s="711">
        <v>0</v>
      </c>
      <c r="D30" s="671">
        <f>C30/C33*100</f>
        <v>0</v>
      </c>
      <c r="E30" s="670">
        <v>0</v>
      </c>
      <c r="F30" s="671">
        <f>E30/E33*100</f>
        <v>0</v>
      </c>
      <c r="G30" s="670">
        <v>0</v>
      </c>
      <c r="H30" s="671">
        <f>G30/G33*100</f>
        <v>0</v>
      </c>
      <c r="I30" s="670">
        <v>0</v>
      </c>
      <c r="J30" s="670">
        <v>0</v>
      </c>
      <c r="K30" s="671">
        <f>J30/J33*100</f>
        <v>0</v>
      </c>
      <c r="L30" s="670">
        <f t="shared" si="1"/>
        <v>0</v>
      </c>
      <c r="M30" s="717">
        <v>0</v>
      </c>
    </row>
    <row r="31" spans="1:13">
      <c r="A31" s="709" t="s">
        <v>51</v>
      </c>
      <c r="B31" s="710" t="s">
        <v>52</v>
      </c>
      <c r="C31" s="711">
        <v>0</v>
      </c>
      <c r="D31" s="671">
        <f>C31/C34*100</f>
        <v>0</v>
      </c>
      <c r="E31" s="670">
        <v>0</v>
      </c>
      <c r="F31" s="671">
        <f>E31/E34*100</f>
        <v>0</v>
      </c>
      <c r="G31" s="670">
        <v>0</v>
      </c>
      <c r="H31" s="671">
        <f>G31/G34*100</f>
        <v>0</v>
      </c>
      <c r="I31" s="670">
        <v>0</v>
      </c>
      <c r="J31" s="670">
        <v>0</v>
      </c>
      <c r="K31" s="671">
        <f>J31/J34*100</f>
        <v>0</v>
      </c>
      <c r="L31" s="670">
        <f>G31-J31</f>
        <v>0</v>
      </c>
      <c r="M31" s="717">
        <v>0</v>
      </c>
    </row>
    <row r="32" spans="1:13">
      <c r="A32" s="713"/>
      <c r="B32" s="714" t="s">
        <v>123</v>
      </c>
      <c r="C32" s="715">
        <v>0</v>
      </c>
      <c r="D32" s="671">
        <f>C32/C34*100</f>
        <v>0</v>
      </c>
      <c r="E32" s="680">
        <v>0</v>
      </c>
      <c r="F32" s="671">
        <f>E32/E34*100</f>
        <v>0</v>
      </c>
      <c r="G32" s="680">
        <v>0</v>
      </c>
      <c r="H32" s="671">
        <f>G32/G34*100</f>
        <v>0</v>
      </c>
      <c r="I32" s="680">
        <v>0</v>
      </c>
      <c r="J32" s="680">
        <v>0</v>
      </c>
      <c r="K32" s="671">
        <f>J32/J34*100</f>
        <v>0</v>
      </c>
      <c r="L32" s="670">
        <f t="shared" si="1"/>
        <v>0</v>
      </c>
      <c r="M32" s="717">
        <v>0</v>
      </c>
    </row>
    <row r="33" spans="1:13">
      <c r="A33" s="713"/>
      <c r="B33" s="714" t="s">
        <v>124</v>
      </c>
      <c r="C33" s="715">
        <v>638800214.20000005</v>
      </c>
      <c r="D33" s="671">
        <f>C33/C34*100</f>
        <v>9.4630638300819268</v>
      </c>
      <c r="E33" s="680">
        <v>1558500000</v>
      </c>
      <c r="F33" s="671">
        <f>E33/E34*100</f>
        <v>18.746761266941853</v>
      </c>
      <c r="G33" s="680">
        <f>G29</f>
        <v>2317855000</v>
      </c>
      <c r="H33" s="671">
        <f>G33/G34*100</f>
        <v>23.229128812389071</v>
      </c>
      <c r="I33" s="680">
        <f>I40</f>
        <v>905435126</v>
      </c>
      <c r="J33" s="680">
        <f>J29</f>
        <v>2069971164</v>
      </c>
      <c r="K33" s="671">
        <f>J33/J34*100</f>
        <v>21.496079656689169</v>
      </c>
      <c r="L33" s="680">
        <f>G33-J33</f>
        <v>247883836</v>
      </c>
      <c r="M33" s="716">
        <f t="shared" si="7"/>
        <v>89.305464060521473</v>
      </c>
    </row>
    <row r="34" spans="1:13">
      <c r="A34" s="713"/>
      <c r="B34" s="714" t="s">
        <v>125</v>
      </c>
      <c r="C34" s="715">
        <v>6750458685.1599998</v>
      </c>
      <c r="D34" s="677">
        <f>D26+D29</f>
        <v>100</v>
      </c>
      <c r="E34" s="680">
        <v>8313436000</v>
      </c>
      <c r="F34" s="677">
        <f>F26+F29</f>
        <v>100</v>
      </c>
      <c r="G34" s="680">
        <f>G33+G26</f>
        <v>9978226126</v>
      </c>
      <c r="H34" s="677">
        <f>H26+H29</f>
        <v>100</v>
      </c>
      <c r="I34" s="680">
        <f t="shared" ref="I34:L34" si="8">I33+I26</f>
        <v>1810870252</v>
      </c>
      <c r="J34" s="680">
        <f t="shared" si="8"/>
        <v>9629528719</v>
      </c>
      <c r="K34" s="677">
        <f>K26+K29</f>
        <v>100</v>
      </c>
      <c r="L34" s="680">
        <f t="shared" si="8"/>
        <v>348697407</v>
      </c>
      <c r="M34" s="680">
        <f>M33+M26</f>
        <v>123.60546406052147</v>
      </c>
    </row>
    <row r="35" spans="1:13">
      <c r="A35" s="713"/>
      <c r="B35" s="714" t="s">
        <v>126</v>
      </c>
      <c r="C35" s="715">
        <v>0</v>
      </c>
      <c r="D35" s="680"/>
      <c r="E35" s="680"/>
      <c r="F35" s="680"/>
      <c r="G35" s="680"/>
      <c r="H35" s="680"/>
      <c r="I35" s="680"/>
      <c r="J35" s="680">
        <v>0</v>
      </c>
      <c r="K35" s="680"/>
      <c r="L35" s="670">
        <f t="shared" si="1"/>
        <v>0</v>
      </c>
      <c r="M35" s="716"/>
    </row>
    <row r="36" spans="1:13">
      <c r="A36" s="713"/>
      <c r="B36" s="714" t="s">
        <v>127</v>
      </c>
      <c r="C36" s="715">
        <v>13467399</v>
      </c>
      <c r="D36" s="680"/>
      <c r="E36" s="680"/>
      <c r="F36" s="680"/>
      <c r="G36" s="680"/>
      <c r="H36" s="680"/>
      <c r="I36" s="680"/>
      <c r="J36" s="680">
        <v>0</v>
      </c>
      <c r="K36" s="680"/>
      <c r="L36" s="670">
        <f t="shared" si="1"/>
        <v>0</v>
      </c>
      <c r="M36" s="716"/>
    </row>
    <row r="37" spans="1:13" ht="15.75" thickBot="1">
      <c r="A37" s="713"/>
      <c r="B37" s="714" t="s">
        <v>128</v>
      </c>
      <c r="C37" s="715">
        <v>6763926084.1599998</v>
      </c>
      <c r="D37" s="680"/>
      <c r="E37" s="680">
        <f t="shared" ref="E37:I37" si="9">E26+E29</f>
        <v>8313436000</v>
      </c>
      <c r="F37" s="680">
        <v>22.6</v>
      </c>
      <c r="G37" s="680">
        <f>G26+G29</f>
        <v>9978226126</v>
      </c>
      <c r="H37" s="680"/>
      <c r="I37" s="680">
        <f t="shared" si="9"/>
        <v>1664790126</v>
      </c>
      <c r="J37" s="680">
        <f>J26+J29</f>
        <v>9629528719</v>
      </c>
      <c r="K37" s="680"/>
      <c r="L37" s="680">
        <f t="shared" si="1"/>
        <v>348697407</v>
      </c>
      <c r="M37" s="680">
        <f>L37/G37*100</f>
        <v>3.4945831312782976</v>
      </c>
    </row>
    <row r="38" spans="1:13" ht="15.75" thickTop="1">
      <c r="A38" s="1039" t="s">
        <v>129</v>
      </c>
      <c r="B38" s="1039"/>
      <c r="C38" s="619"/>
      <c r="D38" s="618"/>
      <c r="E38" s="617"/>
      <c r="F38" s="618"/>
      <c r="G38" s="619"/>
      <c r="H38" s="618"/>
      <c r="I38" s="718"/>
      <c r="J38" s="619"/>
      <c r="K38" s="618"/>
      <c r="L38" s="617"/>
      <c r="M38" s="621"/>
    </row>
    <row r="39" spans="1:13">
      <c r="A39" s="719" t="s">
        <v>33</v>
      </c>
      <c r="B39" s="708" t="s">
        <v>26</v>
      </c>
      <c r="C39" s="622"/>
      <c r="D39" s="605"/>
      <c r="E39" s="604"/>
      <c r="F39" s="605"/>
      <c r="G39" s="720"/>
      <c r="H39" s="605"/>
      <c r="I39" s="609"/>
      <c r="J39" s="622"/>
      <c r="K39" s="605"/>
      <c r="L39" s="604"/>
      <c r="M39" s="607"/>
    </row>
    <row r="40" spans="1:13">
      <c r="A40" s="709"/>
      <c r="B40" s="721" t="s">
        <v>130</v>
      </c>
      <c r="C40" s="715">
        <v>6111658470.96</v>
      </c>
      <c r="D40" s="715">
        <f>C40/C37*100</f>
        <v>90.35667147919456</v>
      </c>
      <c r="E40" s="715">
        <f>SUM(E42:E54)</f>
        <v>6754936000</v>
      </c>
      <c r="F40" s="715">
        <v>81.3</v>
      </c>
      <c r="G40" s="715">
        <f t="shared" ref="G40:I40" si="10">SUM(G42:G54)</f>
        <v>7660371126</v>
      </c>
      <c r="H40" s="715">
        <f t="shared" si="10"/>
        <v>100</v>
      </c>
      <c r="I40" s="715">
        <f t="shared" si="10"/>
        <v>905435126</v>
      </c>
      <c r="J40" s="715">
        <f>SUM(J42:J54)</f>
        <v>7559557555</v>
      </c>
      <c r="K40" s="715">
        <v>100</v>
      </c>
      <c r="L40" s="715">
        <f>L42+L43+L44+L45+L46+L47+L48+L49+L50+L51+L52+L53+L54</f>
        <v>100813571</v>
      </c>
      <c r="M40" s="722">
        <f>J40/G40*100</f>
        <v>98.683959701928416</v>
      </c>
    </row>
    <row r="41" spans="1:13">
      <c r="A41" s="709" t="s">
        <v>131</v>
      </c>
      <c r="B41" s="723" t="s">
        <v>132</v>
      </c>
      <c r="C41" s="711">
        <f>C42+C43+C44+C45+C46+C47+C48+C49+C50+C51+C52+C53+C54</f>
        <v>6111658470.96</v>
      </c>
      <c r="D41" s="670">
        <f>D40</f>
        <v>90.35667147919456</v>
      </c>
      <c r="E41" s="670">
        <f t="shared" ref="E41:M41" si="11">E42+E43+E44+E45+E46+E47+E48+E49+E50+E51+E52+E53+E54</f>
        <v>6754936000</v>
      </c>
      <c r="F41" s="670">
        <f>F40</f>
        <v>81.3</v>
      </c>
      <c r="G41" s="670">
        <f t="shared" si="11"/>
        <v>7660371126</v>
      </c>
      <c r="H41" s="670">
        <f>H40</f>
        <v>100</v>
      </c>
      <c r="I41" s="670">
        <f t="shared" si="11"/>
        <v>905435126</v>
      </c>
      <c r="J41" s="670">
        <f>J42+J43+J44+J45+J46+J47+J48+J49+J50+J51+J52+J53+J54</f>
        <v>7559557555</v>
      </c>
      <c r="K41" s="670">
        <f>K40</f>
        <v>100</v>
      </c>
      <c r="L41" s="670">
        <f>L42+L43+L44+L45+L46+L47+L48+L49+L50+L51+L52+L53+L54</f>
        <v>100813571</v>
      </c>
      <c r="M41" s="670">
        <f t="shared" si="11"/>
        <v>1269.2363008774032</v>
      </c>
    </row>
    <row r="42" spans="1:13" ht="20.25" customHeight="1">
      <c r="A42" s="709" t="s">
        <v>574</v>
      </c>
      <c r="B42" s="723" t="s">
        <v>575</v>
      </c>
      <c r="C42" s="711">
        <v>2858816129</v>
      </c>
      <c r="D42" s="669">
        <f>C42/C40*100</f>
        <v>46.77643789462185</v>
      </c>
      <c r="E42" s="670">
        <v>3329786000</v>
      </c>
      <c r="F42" s="669">
        <f>E42/E40*100</f>
        <v>49.294116184076351</v>
      </c>
      <c r="G42" s="670">
        <v>3969979923</v>
      </c>
      <c r="H42" s="669">
        <f>G42/G40*100</f>
        <v>51.824903228585427</v>
      </c>
      <c r="I42" s="670">
        <f>G42-E42</f>
        <v>640193923</v>
      </c>
      <c r="J42" s="670">
        <v>3945433323</v>
      </c>
      <c r="K42" s="669">
        <f>J42/J40*100</f>
        <v>52.19132593799003</v>
      </c>
      <c r="L42" s="670">
        <f>G42-J42</f>
        <v>24546600</v>
      </c>
      <c r="M42" s="717">
        <f>J42/G42*100</f>
        <v>99.381694606116525</v>
      </c>
    </row>
    <row r="43" spans="1:13" ht="20.25" customHeight="1">
      <c r="A43" s="709" t="s">
        <v>576</v>
      </c>
      <c r="B43" s="723" t="s">
        <v>577</v>
      </c>
      <c r="C43" s="711">
        <v>191223999</v>
      </c>
      <c r="D43" s="669">
        <f>C43/C40*100</f>
        <v>3.1288397397959176</v>
      </c>
      <c r="E43" s="670">
        <v>210900000</v>
      </c>
      <c r="F43" s="669">
        <f>E43/E40*100</f>
        <v>3.122161335059281</v>
      </c>
      <c r="G43" s="670">
        <v>221896290</v>
      </c>
      <c r="H43" s="669">
        <f>G43/G40*100</f>
        <v>2.8966780636366782</v>
      </c>
      <c r="I43" s="670">
        <f t="shared" ref="I43:I54" si="12">G43-E43</f>
        <v>10996290</v>
      </c>
      <c r="J43" s="670">
        <v>218620259</v>
      </c>
      <c r="K43" s="669">
        <f>J43/J40*100</f>
        <v>2.8919716188337166</v>
      </c>
      <c r="L43" s="670">
        <f t="shared" ref="L43:L106" si="13">G43-J43</f>
        <v>3276031</v>
      </c>
      <c r="M43" s="717">
        <f t="shared" ref="M43:M54" si="14">J43/G43*100</f>
        <v>98.523620651791873</v>
      </c>
    </row>
    <row r="44" spans="1:13" ht="20.25" customHeight="1">
      <c r="A44" s="709" t="s">
        <v>578</v>
      </c>
      <c r="B44" s="723" t="s">
        <v>579</v>
      </c>
      <c r="C44" s="711">
        <v>38132558</v>
      </c>
      <c r="D44" s="669">
        <f>C44/C40*100</f>
        <v>0.62393142845251715</v>
      </c>
      <c r="E44" s="670">
        <v>35950000</v>
      </c>
      <c r="F44" s="669">
        <f>E44/E40*100</f>
        <v>0.53220341391835546</v>
      </c>
      <c r="G44" s="670">
        <v>37575000</v>
      </c>
      <c r="H44" s="669">
        <f>G44/G40*100</f>
        <v>0.49051148282446805</v>
      </c>
      <c r="I44" s="670">
        <f t="shared" si="12"/>
        <v>1625000</v>
      </c>
      <c r="J44" s="670">
        <v>36782415</v>
      </c>
      <c r="K44" s="669">
        <f>J44/J40*100</f>
        <v>0.48656835710803714</v>
      </c>
      <c r="L44" s="670">
        <f t="shared" si="13"/>
        <v>792585</v>
      </c>
      <c r="M44" s="717">
        <f t="shared" si="14"/>
        <v>97.890658682634736</v>
      </c>
    </row>
    <row r="45" spans="1:13" ht="20.25" customHeight="1">
      <c r="A45" s="709" t="s">
        <v>580</v>
      </c>
      <c r="B45" s="723" t="s">
        <v>581</v>
      </c>
      <c r="C45" s="711">
        <v>362521208.50999999</v>
      </c>
      <c r="D45" s="669">
        <f>C45/C40*100</f>
        <v>5.9316339457210594</v>
      </c>
      <c r="E45" s="670">
        <v>412000000</v>
      </c>
      <c r="F45" s="669">
        <f>E45/E40*100</f>
        <v>6.0992435753647403</v>
      </c>
      <c r="G45" s="670">
        <v>389769700</v>
      </c>
      <c r="H45" s="669">
        <f>G45/G40*100</f>
        <v>5.0881307653239674</v>
      </c>
      <c r="I45" s="670">
        <f>G45-E45</f>
        <v>-22230300</v>
      </c>
      <c r="J45" s="670">
        <v>383906580</v>
      </c>
      <c r="K45" s="669">
        <f>J45/J40*100</f>
        <v>5.0784265773078037</v>
      </c>
      <c r="L45" s="670">
        <f t="shared" si="13"/>
        <v>5863120</v>
      </c>
      <c r="M45" s="717">
        <f t="shared" si="14"/>
        <v>98.495747617118525</v>
      </c>
    </row>
    <row r="46" spans="1:13" ht="20.25" customHeight="1">
      <c r="A46" s="709" t="s">
        <v>582</v>
      </c>
      <c r="B46" s="723" t="s">
        <v>583</v>
      </c>
      <c r="C46" s="711">
        <v>84037067</v>
      </c>
      <c r="D46" s="669">
        <f>C46/C40*100</f>
        <v>1.3750288469047867</v>
      </c>
      <c r="E46" s="670">
        <v>95800000</v>
      </c>
      <c r="F46" s="669">
        <f>E46/E40*100</f>
        <v>1.4182221711649081</v>
      </c>
      <c r="G46" s="670">
        <v>89693297</v>
      </c>
      <c r="H46" s="669">
        <f>G46/G40*100</f>
        <v>1.1708740415405299</v>
      </c>
      <c r="I46" s="670">
        <f t="shared" si="12"/>
        <v>-6106703</v>
      </c>
      <c r="J46" s="670">
        <v>86347329</v>
      </c>
      <c r="K46" s="669">
        <f>J46/J40*100</f>
        <v>1.1422272847554238</v>
      </c>
      <c r="L46" s="670">
        <f t="shared" si="13"/>
        <v>3345968</v>
      </c>
      <c r="M46" s="717">
        <f t="shared" si="14"/>
        <v>96.269545092093111</v>
      </c>
    </row>
    <row r="47" spans="1:13" ht="20.25" customHeight="1">
      <c r="A47" s="709" t="s">
        <v>584</v>
      </c>
      <c r="B47" s="723" t="s">
        <v>585</v>
      </c>
      <c r="C47" s="711">
        <v>32062978</v>
      </c>
      <c r="D47" s="669">
        <f>C47/C40*100</f>
        <v>0.52461992358292975</v>
      </c>
      <c r="E47" s="670">
        <v>40100000</v>
      </c>
      <c r="F47" s="669">
        <f>E47/E40*100</f>
        <v>0.59363996934982066</v>
      </c>
      <c r="G47" s="670">
        <v>33500000</v>
      </c>
      <c r="H47" s="669">
        <f>G47/G40*100</f>
        <v>0.43731562673638535</v>
      </c>
      <c r="I47" s="670">
        <f t="shared" si="12"/>
        <v>-6600000</v>
      </c>
      <c r="J47" s="670">
        <v>32344903</v>
      </c>
      <c r="K47" s="669">
        <f>J47/J40*100</f>
        <v>0.42786767300430983</v>
      </c>
      <c r="L47" s="670">
        <f t="shared" si="13"/>
        <v>1155097</v>
      </c>
      <c r="M47" s="717">
        <f t="shared" si="14"/>
        <v>96.551949253731337</v>
      </c>
    </row>
    <row r="48" spans="1:13" ht="20.25" customHeight="1">
      <c r="A48" s="709" t="s">
        <v>586</v>
      </c>
      <c r="B48" s="723" t="s">
        <v>587</v>
      </c>
      <c r="C48" s="711">
        <v>68027098</v>
      </c>
      <c r="D48" s="669">
        <f>C48/C40*100</f>
        <v>1.1130709990297365</v>
      </c>
      <c r="E48" s="670">
        <v>72300000</v>
      </c>
      <c r="F48" s="669">
        <f>E48/E40*100</f>
        <v>1.0703284235409485</v>
      </c>
      <c r="G48" s="670">
        <v>83741860</v>
      </c>
      <c r="H48" s="669">
        <f>G48/G40*100</f>
        <v>1.0931828056707653</v>
      </c>
      <c r="I48" s="670">
        <f t="shared" si="12"/>
        <v>11441860</v>
      </c>
      <c r="J48" s="670">
        <v>81455079</v>
      </c>
      <c r="K48" s="669">
        <f>J48/J40*100</f>
        <v>1.077511195693251</v>
      </c>
      <c r="L48" s="670">
        <f t="shared" si="13"/>
        <v>2286781</v>
      </c>
      <c r="M48" s="717">
        <f t="shared" si="14"/>
        <v>97.26924981126524</v>
      </c>
    </row>
    <row r="49" spans="1:13" ht="20.25" customHeight="1">
      <c r="A49" s="709" t="s">
        <v>389</v>
      </c>
      <c r="B49" s="723" t="s">
        <v>390</v>
      </c>
      <c r="C49" s="711">
        <v>383142582.44999999</v>
      </c>
      <c r="D49" s="669">
        <f>C49/C40*100</f>
        <v>6.2690443890235441</v>
      </c>
      <c r="E49" s="670">
        <v>411800000</v>
      </c>
      <c r="F49" s="669">
        <f>E49/E40*100</f>
        <v>6.0962827775126218</v>
      </c>
      <c r="G49" s="670">
        <v>416173705</v>
      </c>
      <c r="H49" s="669">
        <f>G49/G40*100</f>
        <v>5.432813869650106</v>
      </c>
      <c r="I49" s="670">
        <f t="shared" si="12"/>
        <v>4373705</v>
      </c>
      <c r="J49" s="670">
        <v>409041462</v>
      </c>
      <c r="K49" s="669">
        <f>J49/J40*100</f>
        <v>5.4109180203205689</v>
      </c>
      <c r="L49" s="670">
        <f t="shared" si="13"/>
        <v>7132243</v>
      </c>
      <c r="M49" s="717">
        <f t="shared" si="14"/>
        <v>98.286234109865262</v>
      </c>
    </row>
    <row r="50" spans="1:13" ht="20.25" customHeight="1">
      <c r="A50" s="709" t="s">
        <v>588</v>
      </c>
      <c r="B50" s="723" t="s">
        <v>589</v>
      </c>
      <c r="C50" s="711">
        <v>36409245</v>
      </c>
      <c r="D50" s="669">
        <f>C50/C40*100</f>
        <v>0.59573428674068152</v>
      </c>
      <c r="E50" s="670">
        <v>38400000</v>
      </c>
      <c r="F50" s="669">
        <f>E50/E40*100</f>
        <v>0.56847318760681076</v>
      </c>
      <c r="G50" s="670">
        <v>41096000</v>
      </c>
      <c r="H50" s="669">
        <f>G50/G40*100</f>
        <v>0.53647531332413412</v>
      </c>
      <c r="I50" s="670">
        <f t="shared" si="12"/>
        <v>2696000</v>
      </c>
      <c r="J50" s="670">
        <v>39948833</v>
      </c>
      <c r="K50" s="669">
        <f>J50/J40*100</f>
        <v>0.52845464445967827</v>
      </c>
      <c r="L50" s="670">
        <f t="shared" si="13"/>
        <v>1147167</v>
      </c>
      <c r="M50" s="717">
        <f t="shared" si="14"/>
        <v>97.208567743819358</v>
      </c>
    </row>
    <row r="51" spans="1:13" ht="20.25" customHeight="1">
      <c r="A51" s="709" t="s">
        <v>590</v>
      </c>
      <c r="B51" s="723" t="s">
        <v>591</v>
      </c>
      <c r="C51" s="711">
        <v>647467043</v>
      </c>
      <c r="D51" s="669">
        <f>C51/C40*100</f>
        <v>10.593966368973133</v>
      </c>
      <c r="E51" s="670">
        <v>740500000</v>
      </c>
      <c r="F51" s="669">
        <f>E51/E40*100</f>
        <v>10.96235404746988</v>
      </c>
      <c r="G51" s="670">
        <v>737771097</v>
      </c>
      <c r="H51" s="669">
        <f>G51/G40*100</f>
        <v>9.6310098409715099</v>
      </c>
      <c r="I51" s="670">
        <f t="shared" si="12"/>
        <v>-2728903</v>
      </c>
      <c r="J51" s="670">
        <v>736170560</v>
      </c>
      <c r="K51" s="669">
        <f>J51/J40*100</f>
        <v>9.7382757475414188</v>
      </c>
      <c r="L51" s="670">
        <f t="shared" si="13"/>
        <v>1600537</v>
      </c>
      <c r="M51" s="717">
        <f t="shared" si="14"/>
        <v>99.783057779505285</v>
      </c>
    </row>
    <row r="52" spans="1:13" ht="20.25" customHeight="1">
      <c r="A52" s="709" t="s">
        <v>592</v>
      </c>
      <c r="B52" s="723" t="s">
        <v>593</v>
      </c>
      <c r="C52" s="711">
        <v>356950875</v>
      </c>
      <c r="D52" s="669">
        <f>C52/C40*100</f>
        <v>5.8404911972106861</v>
      </c>
      <c r="E52" s="670">
        <v>389000000</v>
      </c>
      <c r="F52" s="669">
        <f>E52/E40*100</f>
        <v>5.7587518223710781</v>
      </c>
      <c r="G52" s="670">
        <v>438516250</v>
      </c>
      <c r="H52" s="669">
        <f>G52/G40*100</f>
        <v>5.7244778717265508</v>
      </c>
      <c r="I52" s="670">
        <f t="shared" si="12"/>
        <v>49516250</v>
      </c>
      <c r="J52" s="670">
        <v>405887063</v>
      </c>
      <c r="K52" s="669">
        <f>J52/J40*100</f>
        <v>5.3691907237552607</v>
      </c>
      <c r="L52" s="670">
        <f t="shared" si="13"/>
        <v>32629187</v>
      </c>
      <c r="M52" s="717">
        <f t="shared" si="14"/>
        <v>92.55918406672501</v>
      </c>
    </row>
    <row r="53" spans="1:13" ht="20.25" customHeight="1">
      <c r="A53" s="709" t="s">
        <v>594</v>
      </c>
      <c r="B53" s="723" t="s">
        <v>595</v>
      </c>
      <c r="C53" s="711">
        <v>834986951</v>
      </c>
      <c r="D53" s="669">
        <f>C53/C40*100</f>
        <v>13.662199139030799</v>
      </c>
      <c r="E53" s="670">
        <v>765000000</v>
      </c>
      <c r="F53" s="669">
        <f>E53/E40*100</f>
        <v>11.325051784354434</v>
      </c>
      <c r="G53" s="670">
        <v>969266304</v>
      </c>
      <c r="H53" s="669">
        <f>G53/G40*100</f>
        <v>12.652994065917008</v>
      </c>
      <c r="I53" s="670">
        <f t="shared" si="12"/>
        <v>204266304</v>
      </c>
      <c r="J53" s="670">
        <v>955952577</v>
      </c>
      <c r="K53" s="669">
        <f>J53/J40*100</f>
        <v>12.645615435095396</v>
      </c>
      <c r="L53" s="670">
        <f t="shared" si="13"/>
        <v>13313727</v>
      </c>
      <c r="M53" s="717">
        <f t="shared" si="14"/>
        <v>98.626411859665765</v>
      </c>
    </row>
    <row r="54" spans="1:13" ht="20.25" customHeight="1">
      <c r="A54" s="709" t="s">
        <v>596</v>
      </c>
      <c r="B54" s="723" t="s">
        <v>597</v>
      </c>
      <c r="C54" s="711">
        <v>217880737</v>
      </c>
      <c r="D54" s="669">
        <f>C54/C40*100</f>
        <v>3.5650018409123567</v>
      </c>
      <c r="E54" s="670">
        <v>213400000</v>
      </c>
      <c r="F54" s="669">
        <f>E54/E40*100</f>
        <v>3.159171308210766</v>
      </c>
      <c r="G54" s="670">
        <v>231391700</v>
      </c>
      <c r="H54" s="669">
        <f>G54/G40*100</f>
        <v>3.0206330240924677</v>
      </c>
      <c r="I54" s="670">
        <f t="shared" si="12"/>
        <v>17991700</v>
      </c>
      <c r="J54" s="670">
        <v>227667172</v>
      </c>
      <c r="K54" s="669">
        <f>J54/J40*100</f>
        <v>3.0116467841351064</v>
      </c>
      <c r="L54" s="670">
        <f t="shared" si="13"/>
        <v>3724528</v>
      </c>
      <c r="M54" s="717">
        <f t="shared" si="14"/>
        <v>98.390379603071338</v>
      </c>
    </row>
    <row r="55" spans="1:13" s="201" customFormat="1">
      <c r="A55" s="713"/>
      <c r="B55" s="721" t="s">
        <v>133</v>
      </c>
      <c r="C55" s="715">
        <v>638800214.20000005</v>
      </c>
      <c r="D55" s="680">
        <f>C55/C143*100</f>
        <v>9.4630638300819268</v>
      </c>
      <c r="E55" s="680">
        <v>1558500000</v>
      </c>
      <c r="F55" s="680">
        <f>E55/E143*100</f>
        <v>18.746761266941853</v>
      </c>
      <c r="G55" s="680">
        <f>SUM(G57:G133)</f>
        <v>2317855000</v>
      </c>
      <c r="H55" s="680">
        <f>G55/G143*100</f>
        <v>23.229128812389071</v>
      </c>
      <c r="I55" s="680">
        <f t="shared" ref="I55:L55" si="15">SUM(I57:I133)</f>
        <v>759355000</v>
      </c>
      <c r="J55" s="680">
        <f t="shared" si="15"/>
        <v>2069971164</v>
      </c>
      <c r="K55" s="680">
        <f>J55/J143*100</f>
        <v>21.496079656689169</v>
      </c>
      <c r="L55" s="680">
        <f t="shared" si="15"/>
        <v>247883836</v>
      </c>
      <c r="M55" s="680" t="e">
        <f>SUM(M57:M133)</f>
        <v>#DIV/0!</v>
      </c>
    </row>
    <row r="56" spans="1:13">
      <c r="A56" s="709" t="s">
        <v>131</v>
      </c>
      <c r="B56" s="723" t="s">
        <v>132</v>
      </c>
      <c r="C56" s="711">
        <f t="shared" ref="C56:D56" si="16">SUM(C57:C133)</f>
        <v>638800214.20000005</v>
      </c>
      <c r="D56" s="670">
        <f t="shared" si="16"/>
        <v>99.999999999999986</v>
      </c>
      <c r="E56" s="670">
        <f>SUM(E57:E133)</f>
        <v>1558500000</v>
      </c>
      <c r="F56" s="670">
        <f t="shared" ref="F56:H56" si="17">SUM(F57:F133)</f>
        <v>99.999999999999972</v>
      </c>
      <c r="G56" s="670">
        <f>SUM(G57:G133)</f>
        <v>2317855000</v>
      </c>
      <c r="H56" s="670">
        <f t="shared" si="17"/>
        <v>99.999999999999972</v>
      </c>
      <c r="I56" s="670">
        <f t="shared" ref="I56" si="18">SUM(I57:I133)</f>
        <v>759355000</v>
      </c>
      <c r="J56" s="670">
        <f>SUM(J57:J133)</f>
        <v>2069971164</v>
      </c>
      <c r="K56" s="670">
        <f t="shared" ref="K56" si="19">SUM(K57:K133)</f>
        <v>100</v>
      </c>
      <c r="L56" s="670">
        <f t="shared" ref="L56" si="20">SUM(L57:L133)</f>
        <v>247883836</v>
      </c>
      <c r="M56" s="670">
        <v>0</v>
      </c>
    </row>
    <row r="57" spans="1:13" ht="19.5" customHeight="1">
      <c r="A57" s="709" t="s">
        <v>598</v>
      </c>
      <c r="B57" s="723" t="s">
        <v>599</v>
      </c>
      <c r="C57" s="711">
        <v>0</v>
      </c>
      <c r="D57" s="669">
        <f>C57/C55*100</f>
        <v>0</v>
      </c>
      <c r="E57" s="724">
        <v>787000</v>
      </c>
      <c r="F57" s="669">
        <f>E57/E55*100</f>
        <v>5.0497273018928458E-2</v>
      </c>
      <c r="G57" s="670">
        <v>790694087</v>
      </c>
      <c r="H57" s="669">
        <f>G57/G55*100</f>
        <v>34.113181670121726</v>
      </c>
      <c r="I57" s="680">
        <f>G57-E57</f>
        <v>789907087</v>
      </c>
      <c r="J57" s="670">
        <v>790694087</v>
      </c>
      <c r="K57" s="669">
        <f>J57/J55*100</f>
        <v>38.198314099799703</v>
      </c>
      <c r="L57" s="670">
        <f t="shared" si="13"/>
        <v>0</v>
      </c>
      <c r="M57" s="717">
        <f>J57/G57*100</f>
        <v>100</v>
      </c>
    </row>
    <row r="58" spans="1:13" ht="19.5" customHeight="1">
      <c r="A58" s="709" t="s">
        <v>600</v>
      </c>
      <c r="B58" s="723" t="s">
        <v>601</v>
      </c>
      <c r="C58" s="711">
        <v>11249400</v>
      </c>
      <c r="D58" s="669">
        <f>C58/C55*100</f>
        <v>1.76102007324593</v>
      </c>
      <c r="E58" s="724">
        <v>0</v>
      </c>
      <c r="F58" s="669">
        <f>E58/E55*100</f>
        <v>0</v>
      </c>
      <c r="G58" s="670">
        <v>0</v>
      </c>
      <c r="H58" s="669">
        <f>G58/G55*100</f>
        <v>0</v>
      </c>
      <c r="I58" s="680">
        <f>G58-E58</f>
        <v>0</v>
      </c>
      <c r="J58" s="670">
        <v>0</v>
      </c>
      <c r="K58" s="669">
        <f>J58/J55*100</f>
        <v>0</v>
      </c>
      <c r="L58" s="670">
        <f t="shared" si="13"/>
        <v>0</v>
      </c>
      <c r="M58" s="717">
        <v>0</v>
      </c>
    </row>
    <row r="59" spans="1:13" ht="19.5" customHeight="1">
      <c r="A59" s="709" t="s">
        <v>602</v>
      </c>
      <c r="B59" s="723" t="s">
        <v>603</v>
      </c>
      <c r="C59" s="711">
        <v>100819619</v>
      </c>
      <c r="D59" s="669">
        <f>C59/C55*100</f>
        <v>15.782652660231369</v>
      </c>
      <c r="E59" s="724">
        <v>121500000</v>
      </c>
      <c r="F59" s="669">
        <f>E59/E55*100</f>
        <v>7.7959576515880658</v>
      </c>
      <c r="G59" s="670">
        <v>271000000</v>
      </c>
      <c r="H59" s="669">
        <f>G59/G55*100</f>
        <v>11.691844399239814</v>
      </c>
      <c r="I59" s="680">
        <f>G59-E59</f>
        <v>149500000</v>
      </c>
      <c r="J59" s="670">
        <v>209960508</v>
      </c>
      <c r="K59" s="669">
        <f>J59/J55*100</f>
        <v>10.14316100878785</v>
      </c>
      <c r="L59" s="670">
        <f t="shared" si="13"/>
        <v>61039492</v>
      </c>
      <c r="M59" s="717">
        <f t="shared" ref="M59:M123" si="21">J59/G59*100</f>
        <v>77.476202214022138</v>
      </c>
    </row>
    <row r="60" spans="1:13" ht="19.5" customHeight="1">
      <c r="A60" s="709" t="s">
        <v>604</v>
      </c>
      <c r="B60" s="723" t="s">
        <v>605</v>
      </c>
      <c r="C60" s="711">
        <v>4245768</v>
      </c>
      <c r="D60" s="669">
        <f>C60/C55*100</f>
        <v>0.66464724112799145</v>
      </c>
      <c r="E60" s="724">
        <v>20000000</v>
      </c>
      <c r="F60" s="669">
        <f>E60/E55*100</f>
        <v>1.2832852101379533</v>
      </c>
      <c r="G60" s="670">
        <v>10000000</v>
      </c>
      <c r="H60" s="669">
        <f>G60/G55*100</f>
        <v>0.43143337266567583</v>
      </c>
      <c r="I60" s="680">
        <f>G60-E60</f>
        <v>-10000000</v>
      </c>
      <c r="J60" s="670">
        <v>0</v>
      </c>
      <c r="K60" s="669">
        <f>J60/J55*100</f>
        <v>0</v>
      </c>
      <c r="L60" s="670">
        <f t="shared" si="13"/>
        <v>10000000</v>
      </c>
      <c r="M60" s="717">
        <f t="shared" si="21"/>
        <v>0</v>
      </c>
    </row>
    <row r="61" spans="1:13" ht="19.5" customHeight="1">
      <c r="A61" s="709" t="s">
        <v>606</v>
      </c>
      <c r="B61" s="723" t="s">
        <v>607</v>
      </c>
      <c r="C61" s="711">
        <v>0</v>
      </c>
      <c r="D61" s="669">
        <f>C61/C55*100</f>
        <v>0</v>
      </c>
      <c r="E61" s="724">
        <v>282000</v>
      </c>
      <c r="F61" s="669">
        <f>E61/E55*100</f>
        <v>1.8094321462945141E-2</v>
      </c>
      <c r="G61" s="670">
        <v>0</v>
      </c>
      <c r="H61" s="669">
        <f>G61/G55*100</f>
        <v>0</v>
      </c>
      <c r="I61" s="680">
        <f t="shared" ref="I61:I124" si="22">G61-E61</f>
        <v>-282000</v>
      </c>
      <c r="J61" s="670">
        <v>0</v>
      </c>
      <c r="K61" s="669">
        <f>J61/J55*100</f>
        <v>0</v>
      </c>
      <c r="L61" s="670">
        <f t="shared" si="13"/>
        <v>0</v>
      </c>
      <c r="M61" s="717">
        <v>0</v>
      </c>
    </row>
    <row r="62" spans="1:13" ht="19.5" customHeight="1">
      <c r="A62" s="709" t="s">
        <v>608</v>
      </c>
      <c r="B62" s="723" t="s">
        <v>609</v>
      </c>
      <c r="C62" s="711">
        <v>0</v>
      </c>
      <c r="D62" s="669">
        <f>C62/C55*100</f>
        <v>0</v>
      </c>
      <c r="E62" s="724">
        <v>0</v>
      </c>
      <c r="F62" s="669">
        <f>E62/E55*100</f>
        <v>0</v>
      </c>
      <c r="G62" s="670">
        <v>0</v>
      </c>
      <c r="H62" s="669">
        <f>G62/G55*100</f>
        <v>0</v>
      </c>
      <c r="I62" s="680">
        <f t="shared" si="22"/>
        <v>0</v>
      </c>
      <c r="J62" s="670">
        <v>0</v>
      </c>
      <c r="K62" s="669">
        <f>J62/J55*100</f>
        <v>0</v>
      </c>
      <c r="L62" s="670">
        <f t="shared" si="13"/>
        <v>0</v>
      </c>
      <c r="M62" s="717">
        <v>0</v>
      </c>
    </row>
    <row r="63" spans="1:13" ht="19.5" customHeight="1">
      <c r="A63" s="709" t="s">
        <v>610</v>
      </c>
      <c r="B63" s="723" t="s">
        <v>611</v>
      </c>
      <c r="C63" s="711">
        <v>4682040</v>
      </c>
      <c r="D63" s="669">
        <f>C63/C55*100</f>
        <v>0.73294277239144978</v>
      </c>
      <c r="E63" s="724">
        <v>20000000</v>
      </c>
      <c r="F63" s="669">
        <f>E63/E55*100</f>
        <v>1.2832852101379533</v>
      </c>
      <c r="G63" s="670">
        <v>31820000</v>
      </c>
      <c r="H63" s="669">
        <f>G63/G55*100</f>
        <v>1.3728209918221803</v>
      </c>
      <c r="I63" s="680">
        <f t="shared" si="22"/>
        <v>11820000</v>
      </c>
      <c r="J63" s="670">
        <v>18315480</v>
      </c>
      <c r="K63" s="669">
        <f>J63/J55*100</f>
        <v>0.8848181230026062</v>
      </c>
      <c r="L63" s="670">
        <f t="shared" si="13"/>
        <v>13504520</v>
      </c>
      <c r="M63" s="717">
        <f t="shared" si="21"/>
        <v>57.559648020113144</v>
      </c>
    </row>
    <row r="64" spans="1:13" ht="19.5" customHeight="1">
      <c r="A64" s="709" t="s">
        <v>612</v>
      </c>
      <c r="B64" s="723" t="s">
        <v>613</v>
      </c>
      <c r="C64" s="711">
        <v>0</v>
      </c>
      <c r="D64" s="669">
        <f>C64/C55*100</f>
        <v>0</v>
      </c>
      <c r="E64" s="724">
        <v>14446000</v>
      </c>
      <c r="F64" s="669">
        <f>E64/E55*100</f>
        <v>0.92691690728264353</v>
      </c>
      <c r="G64" s="670">
        <v>14446000</v>
      </c>
      <c r="H64" s="669">
        <f>G64/G55*100</f>
        <v>0.62324865015283526</v>
      </c>
      <c r="I64" s="680">
        <f t="shared" si="22"/>
        <v>0</v>
      </c>
      <c r="J64" s="670">
        <v>0</v>
      </c>
      <c r="K64" s="669">
        <f>J64/J55*100</f>
        <v>0</v>
      </c>
      <c r="L64" s="670">
        <f t="shared" si="13"/>
        <v>14446000</v>
      </c>
      <c r="M64" s="717">
        <f t="shared" si="21"/>
        <v>0</v>
      </c>
    </row>
    <row r="65" spans="1:13" ht="19.5" customHeight="1">
      <c r="A65" s="709" t="s">
        <v>614</v>
      </c>
      <c r="B65" s="723" t="s">
        <v>615</v>
      </c>
      <c r="C65" s="711">
        <v>0</v>
      </c>
      <c r="D65" s="669">
        <f>C65/C55*100</f>
        <v>0</v>
      </c>
      <c r="E65" s="724">
        <v>1200000</v>
      </c>
      <c r="F65" s="669">
        <f>E65/E55*100</f>
        <v>7.6997112608277185E-2</v>
      </c>
      <c r="G65" s="670">
        <v>1200000</v>
      </c>
      <c r="H65" s="669">
        <f>G65/G55*100</f>
        <v>5.1772004719881096E-2</v>
      </c>
      <c r="I65" s="680">
        <f t="shared" si="22"/>
        <v>0</v>
      </c>
      <c r="J65" s="670">
        <v>0</v>
      </c>
      <c r="K65" s="669">
        <f>J65/J55*100</f>
        <v>0</v>
      </c>
      <c r="L65" s="670">
        <f t="shared" si="13"/>
        <v>1200000</v>
      </c>
      <c r="M65" s="717">
        <f t="shared" si="21"/>
        <v>0</v>
      </c>
    </row>
    <row r="66" spans="1:13" ht="19.5" customHeight="1">
      <c r="A66" s="709" t="s">
        <v>616</v>
      </c>
      <c r="B66" s="723" t="s">
        <v>617</v>
      </c>
      <c r="C66" s="711">
        <v>0</v>
      </c>
      <c r="D66" s="669">
        <f>C66/C55*100</f>
        <v>0</v>
      </c>
      <c r="E66" s="724">
        <v>14347000</v>
      </c>
      <c r="F66" s="669">
        <f>E66/E55*100</f>
        <v>0.92056464549246064</v>
      </c>
      <c r="G66" s="670">
        <v>0</v>
      </c>
      <c r="H66" s="669">
        <f>G66/G55*100</f>
        <v>0</v>
      </c>
      <c r="I66" s="680">
        <f t="shared" si="22"/>
        <v>-14347000</v>
      </c>
      <c r="J66" s="670">
        <v>0</v>
      </c>
      <c r="K66" s="669">
        <f>J66/J55*100</f>
        <v>0</v>
      </c>
      <c r="L66" s="670">
        <f t="shared" si="13"/>
        <v>0</v>
      </c>
      <c r="M66" s="717">
        <v>0</v>
      </c>
    </row>
    <row r="67" spans="1:13" ht="19.5" customHeight="1">
      <c r="A67" s="709" t="s">
        <v>618</v>
      </c>
      <c r="B67" s="723" t="s">
        <v>619</v>
      </c>
      <c r="C67" s="711">
        <v>0</v>
      </c>
      <c r="D67" s="669">
        <f>C67/C55*100</f>
        <v>0</v>
      </c>
      <c r="E67" s="724">
        <v>6500000</v>
      </c>
      <c r="F67" s="669">
        <f>E67/E55*100</f>
        <v>0.41706769329483478</v>
      </c>
      <c r="G67" s="670">
        <v>0</v>
      </c>
      <c r="H67" s="669">
        <f>G67/G55*100</f>
        <v>0</v>
      </c>
      <c r="I67" s="680">
        <f t="shared" si="22"/>
        <v>-6500000</v>
      </c>
      <c r="J67" s="670">
        <v>0</v>
      </c>
      <c r="K67" s="669">
        <f>J67/J55*100</f>
        <v>0</v>
      </c>
      <c r="L67" s="670">
        <f t="shared" si="13"/>
        <v>0</v>
      </c>
      <c r="M67" s="717" t="e">
        <f t="shared" si="21"/>
        <v>#DIV/0!</v>
      </c>
    </row>
    <row r="68" spans="1:13" ht="19.5" customHeight="1">
      <c r="A68" s="709" t="s">
        <v>620</v>
      </c>
      <c r="B68" s="723" t="s">
        <v>621</v>
      </c>
      <c r="C68" s="711">
        <v>0</v>
      </c>
      <c r="D68" s="669">
        <f>C68/C55*100</f>
        <v>0</v>
      </c>
      <c r="E68" s="724">
        <v>600000</v>
      </c>
      <c r="F68" s="669">
        <f>E68/E55*100</f>
        <v>3.8498556304138593E-2</v>
      </c>
      <c r="G68" s="670">
        <v>600000</v>
      </c>
      <c r="H68" s="669">
        <f>G68/G55*100</f>
        <v>2.5886002359940548E-2</v>
      </c>
      <c r="I68" s="680">
        <f t="shared" si="22"/>
        <v>0</v>
      </c>
      <c r="J68" s="670">
        <v>513012</v>
      </c>
      <c r="K68" s="669">
        <f>J68/J55*100</f>
        <v>2.4783533651196312E-2</v>
      </c>
      <c r="L68" s="670">
        <f t="shared" si="13"/>
        <v>86988</v>
      </c>
      <c r="M68" s="717">
        <f t="shared" si="21"/>
        <v>85.501999999999995</v>
      </c>
    </row>
    <row r="69" spans="1:13" ht="19.5" customHeight="1">
      <c r="A69" s="709" t="s">
        <v>622</v>
      </c>
      <c r="B69" s="723" t="s">
        <v>623</v>
      </c>
      <c r="C69" s="711">
        <v>0</v>
      </c>
      <c r="D69" s="669">
        <f>C69/C55*100</f>
        <v>0</v>
      </c>
      <c r="E69" s="724">
        <v>14000000</v>
      </c>
      <c r="F69" s="669">
        <f>E69/E55*100</f>
        <v>0.89829964709656729</v>
      </c>
      <c r="G69" s="670">
        <v>14000000</v>
      </c>
      <c r="H69" s="669">
        <f>G69/G55*100</f>
        <v>0.60400672173194614</v>
      </c>
      <c r="I69" s="680">
        <f t="shared" si="22"/>
        <v>0</v>
      </c>
      <c r="J69" s="670">
        <v>0</v>
      </c>
      <c r="K69" s="669">
        <f>J69/J55*100</f>
        <v>0</v>
      </c>
      <c r="L69" s="670">
        <f t="shared" si="13"/>
        <v>14000000</v>
      </c>
      <c r="M69" s="717">
        <f t="shared" si="21"/>
        <v>0</v>
      </c>
    </row>
    <row r="70" spans="1:13" ht="19.5" customHeight="1">
      <c r="A70" s="709" t="s">
        <v>624</v>
      </c>
      <c r="B70" s="723" t="s">
        <v>625</v>
      </c>
      <c r="C70" s="711">
        <v>0</v>
      </c>
      <c r="D70" s="669">
        <f>C70/C55*100</f>
        <v>0</v>
      </c>
      <c r="E70" s="724">
        <v>37000000</v>
      </c>
      <c r="F70" s="669">
        <f>E70/E55*100</f>
        <v>2.3740776387552134</v>
      </c>
      <c r="G70" s="670">
        <v>7000000</v>
      </c>
      <c r="H70" s="669">
        <f>G70/G55*100</f>
        <v>0.30200336086597307</v>
      </c>
      <c r="I70" s="680">
        <f t="shared" si="22"/>
        <v>-30000000</v>
      </c>
      <c r="J70" s="670">
        <v>0</v>
      </c>
      <c r="K70" s="669">
        <f>J70/J55*100</f>
        <v>0</v>
      </c>
      <c r="L70" s="670">
        <f t="shared" si="13"/>
        <v>7000000</v>
      </c>
      <c r="M70" s="717">
        <f t="shared" si="21"/>
        <v>0</v>
      </c>
    </row>
    <row r="71" spans="1:13" ht="19.5" customHeight="1">
      <c r="A71" s="709" t="s">
        <v>626</v>
      </c>
      <c r="B71" s="723" t="s">
        <v>627</v>
      </c>
      <c r="C71" s="711">
        <v>0</v>
      </c>
      <c r="D71" s="669">
        <f>C71/C55*100</f>
        <v>0</v>
      </c>
      <c r="E71" s="724">
        <v>0</v>
      </c>
      <c r="F71" s="669">
        <f>E71/E55*100</f>
        <v>0</v>
      </c>
      <c r="G71" s="670">
        <v>0</v>
      </c>
      <c r="H71" s="669">
        <f>G71/G55*100</f>
        <v>0</v>
      </c>
      <c r="I71" s="680">
        <f t="shared" si="22"/>
        <v>0</v>
      </c>
      <c r="J71" s="670">
        <v>0</v>
      </c>
      <c r="K71" s="669">
        <f>J71/J55*100</f>
        <v>0</v>
      </c>
      <c r="L71" s="670">
        <f t="shared" si="13"/>
        <v>0</v>
      </c>
      <c r="M71" s="717">
        <v>0</v>
      </c>
    </row>
    <row r="72" spans="1:13" ht="19.5" customHeight="1">
      <c r="A72" s="709" t="s">
        <v>628</v>
      </c>
      <c r="B72" s="723" t="s">
        <v>629</v>
      </c>
      <c r="C72" s="711">
        <v>0</v>
      </c>
      <c r="D72" s="669">
        <f>C72/C55*100</f>
        <v>0</v>
      </c>
      <c r="E72" s="724">
        <v>8000000</v>
      </c>
      <c r="F72" s="669">
        <f>E72/E55*100</f>
        <v>0.51331408405518131</v>
      </c>
      <c r="G72" s="670">
        <v>0</v>
      </c>
      <c r="H72" s="669">
        <f>G72/G55*100</f>
        <v>0</v>
      </c>
      <c r="I72" s="680">
        <f t="shared" si="22"/>
        <v>-8000000</v>
      </c>
      <c r="J72" s="670">
        <v>0</v>
      </c>
      <c r="K72" s="669">
        <f>J72/J55*100</f>
        <v>0</v>
      </c>
      <c r="L72" s="670">
        <f t="shared" si="13"/>
        <v>0</v>
      </c>
      <c r="M72" s="717" t="e">
        <f t="shared" si="21"/>
        <v>#DIV/0!</v>
      </c>
    </row>
    <row r="73" spans="1:13" ht="19.5" customHeight="1">
      <c r="A73" s="709" t="s">
        <v>630</v>
      </c>
      <c r="B73" s="723" t="s">
        <v>631</v>
      </c>
      <c r="C73" s="711">
        <v>0</v>
      </c>
      <c r="D73" s="669">
        <f>C73/C55*100</f>
        <v>0</v>
      </c>
      <c r="E73" s="724">
        <v>4000000</v>
      </c>
      <c r="F73" s="669">
        <f>E73/E55*100</f>
        <v>0.25665704202759065</v>
      </c>
      <c r="G73" s="670">
        <v>4000000</v>
      </c>
      <c r="H73" s="669">
        <f>G73/G55*100</f>
        <v>0.17257334906627034</v>
      </c>
      <c r="I73" s="680">
        <f t="shared" si="22"/>
        <v>0</v>
      </c>
      <c r="J73" s="670">
        <v>3834000</v>
      </c>
      <c r="K73" s="669">
        <f>J73/J55*100</f>
        <v>0.18521997149908123</v>
      </c>
      <c r="L73" s="670">
        <f t="shared" si="13"/>
        <v>166000</v>
      </c>
      <c r="M73" s="717">
        <f t="shared" si="21"/>
        <v>95.850000000000009</v>
      </c>
    </row>
    <row r="74" spans="1:13" ht="19.5" customHeight="1">
      <c r="A74" s="709" t="s">
        <v>632</v>
      </c>
      <c r="B74" s="723" t="s">
        <v>633</v>
      </c>
      <c r="C74" s="711">
        <v>0</v>
      </c>
      <c r="D74" s="669">
        <f>C74/C55*100</f>
        <v>0</v>
      </c>
      <c r="E74" s="724">
        <v>0</v>
      </c>
      <c r="F74" s="669">
        <f>E74/E55*100</f>
        <v>0</v>
      </c>
      <c r="G74" s="670">
        <v>0</v>
      </c>
      <c r="H74" s="669">
        <f>G74/G55*100</f>
        <v>0</v>
      </c>
      <c r="I74" s="680">
        <f t="shared" si="22"/>
        <v>0</v>
      </c>
      <c r="J74" s="670">
        <v>0</v>
      </c>
      <c r="K74" s="669">
        <f>J74/J55*100</f>
        <v>0</v>
      </c>
      <c r="L74" s="670">
        <f t="shared" si="13"/>
        <v>0</v>
      </c>
      <c r="M74" s="717">
        <v>0</v>
      </c>
    </row>
    <row r="75" spans="1:13" ht="19.5" customHeight="1">
      <c r="A75" s="709" t="s">
        <v>634</v>
      </c>
      <c r="B75" s="723" t="s">
        <v>635</v>
      </c>
      <c r="C75" s="711">
        <v>11881680</v>
      </c>
      <c r="D75" s="669">
        <f>C75/C55*100</f>
        <v>1.8599993763120437</v>
      </c>
      <c r="E75" s="724">
        <v>0</v>
      </c>
      <c r="F75" s="669">
        <f>E75/E55*100</f>
        <v>0</v>
      </c>
      <c r="G75" s="670">
        <v>0</v>
      </c>
      <c r="H75" s="669">
        <f>G75/G55*100</f>
        <v>0</v>
      </c>
      <c r="I75" s="680">
        <f t="shared" si="22"/>
        <v>0</v>
      </c>
      <c r="J75" s="670">
        <v>0</v>
      </c>
      <c r="K75" s="669">
        <f>J75/J55*100</f>
        <v>0</v>
      </c>
      <c r="L75" s="670">
        <f t="shared" si="13"/>
        <v>0</v>
      </c>
      <c r="M75" s="717">
        <v>0</v>
      </c>
    </row>
    <row r="76" spans="1:13" ht="19.5" customHeight="1">
      <c r="A76" s="709" t="s">
        <v>636</v>
      </c>
      <c r="B76" s="723" t="s">
        <v>637</v>
      </c>
      <c r="C76" s="711">
        <v>0</v>
      </c>
      <c r="D76" s="669">
        <f>C76/C55*100</f>
        <v>0</v>
      </c>
      <c r="E76" s="724">
        <v>5000000</v>
      </c>
      <c r="F76" s="669">
        <f>E76/E55*100</f>
        <v>0.32082130253448832</v>
      </c>
      <c r="G76" s="670">
        <v>0</v>
      </c>
      <c r="H76" s="669">
        <f>G76/G55*100</f>
        <v>0</v>
      </c>
      <c r="I76" s="680">
        <f t="shared" si="22"/>
        <v>-5000000</v>
      </c>
      <c r="J76" s="670">
        <v>0</v>
      </c>
      <c r="K76" s="669">
        <f>J76/J55*100</f>
        <v>0</v>
      </c>
      <c r="L76" s="670">
        <f t="shared" si="13"/>
        <v>0</v>
      </c>
      <c r="M76" s="717" t="e">
        <f t="shared" si="21"/>
        <v>#DIV/0!</v>
      </c>
    </row>
    <row r="77" spans="1:13" ht="19.5" customHeight="1">
      <c r="A77" s="709" t="s">
        <v>638</v>
      </c>
      <c r="B77" s="723" t="s">
        <v>639</v>
      </c>
      <c r="C77" s="711">
        <v>167492093</v>
      </c>
      <c r="D77" s="669">
        <f>C77/C55*100</f>
        <v>26.219792867439523</v>
      </c>
      <c r="E77" s="724">
        <v>295000000</v>
      </c>
      <c r="F77" s="669">
        <f>E77/E55*100</f>
        <v>18.928456849534808</v>
      </c>
      <c r="G77" s="670">
        <v>299000000</v>
      </c>
      <c r="H77" s="669">
        <f>G77/G55*100</f>
        <v>12.899857842703707</v>
      </c>
      <c r="I77" s="680">
        <f t="shared" si="22"/>
        <v>4000000</v>
      </c>
      <c r="J77" s="670">
        <v>285750883</v>
      </c>
      <c r="K77" s="669">
        <f>J77/J55*100</f>
        <v>13.804582786932002</v>
      </c>
      <c r="L77" s="670">
        <f t="shared" si="13"/>
        <v>13249117</v>
      </c>
      <c r="M77" s="717">
        <f t="shared" si="21"/>
        <v>95.568857190635441</v>
      </c>
    </row>
    <row r="78" spans="1:13" ht="19.5" customHeight="1">
      <c r="A78" s="709" t="s">
        <v>640</v>
      </c>
      <c r="B78" s="723" t="s">
        <v>641</v>
      </c>
      <c r="C78" s="711">
        <v>38200243</v>
      </c>
      <c r="D78" s="669">
        <f>C78/C55*100</f>
        <v>5.9799984644400883</v>
      </c>
      <c r="E78" s="724">
        <v>138058000</v>
      </c>
      <c r="F78" s="669">
        <f>E78/E55*100</f>
        <v>8.8583894770612766</v>
      </c>
      <c r="G78" s="670">
        <v>5744247</v>
      </c>
      <c r="H78" s="669">
        <f>G78/G55*100</f>
        <v>0.24782598566346903</v>
      </c>
      <c r="I78" s="680">
        <f t="shared" si="22"/>
        <v>-132313753</v>
      </c>
      <c r="J78" s="670">
        <v>5738192</v>
      </c>
      <c r="K78" s="669">
        <f>J78/J55*100</f>
        <v>0.27721120466777671</v>
      </c>
      <c r="L78" s="670">
        <f t="shared" si="13"/>
        <v>6055</v>
      </c>
      <c r="M78" s="717">
        <f t="shared" si="21"/>
        <v>99.894590187364855</v>
      </c>
    </row>
    <row r="79" spans="1:13" ht="19.5" customHeight="1">
      <c r="A79" s="709" t="s">
        <v>642</v>
      </c>
      <c r="B79" s="723" t="s">
        <v>643</v>
      </c>
      <c r="C79" s="711">
        <v>46416147.200000003</v>
      </c>
      <c r="D79" s="664">
        <f>C79/C55*100</f>
        <v>7.2661445892170144</v>
      </c>
      <c r="E79" s="725">
        <v>25000000</v>
      </c>
      <c r="F79" s="664">
        <f>E79/E55*100</f>
        <v>1.6041065126724416</v>
      </c>
      <c r="G79" s="711">
        <v>0</v>
      </c>
      <c r="H79" s="664">
        <f>G79/G55*100</f>
        <v>0</v>
      </c>
      <c r="I79" s="715">
        <f t="shared" si="22"/>
        <v>-25000000</v>
      </c>
      <c r="J79" s="711">
        <v>0</v>
      </c>
      <c r="K79" s="664">
        <f>J79/J55*100</f>
        <v>0</v>
      </c>
      <c r="L79" s="711">
        <f t="shared" si="13"/>
        <v>0</v>
      </c>
      <c r="M79" s="712" t="e">
        <f t="shared" si="21"/>
        <v>#DIV/0!</v>
      </c>
    </row>
    <row r="80" spans="1:13" ht="19.5" customHeight="1">
      <c r="A80" s="709" t="s">
        <v>644</v>
      </c>
      <c r="B80" s="723" t="s">
        <v>645</v>
      </c>
      <c r="C80" s="711">
        <v>39943853</v>
      </c>
      <c r="D80" s="664">
        <f>C80/C55*100</f>
        <v>6.2529492182502766</v>
      </c>
      <c r="E80" s="725">
        <v>283500000</v>
      </c>
      <c r="F80" s="664">
        <f>E80/E55*100</f>
        <v>18.190567853705485</v>
      </c>
      <c r="G80" s="711">
        <v>283500000</v>
      </c>
      <c r="H80" s="664">
        <f>G80/G55*100</f>
        <v>12.23113611507191</v>
      </c>
      <c r="I80" s="715">
        <f t="shared" si="22"/>
        <v>0</v>
      </c>
      <c r="J80" s="711">
        <v>267350290</v>
      </c>
      <c r="K80" s="664">
        <f>J80/J55*100</f>
        <v>12.915652867519849</v>
      </c>
      <c r="L80" s="711">
        <f t="shared" si="13"/>
        <v>16149710</v>
      </c>
      <c r="M80" s="712">
        <f t="shared" si="21"/>
        <v>94.30345326278659</v>
      </c>
    </row>
    <row r="81" spans="1:13" ht="19.5" customHeight="1">
      <c r="A81" s="709" t="s">
        <v>646</v>
      </c>
      <c r="B81" s="723" t="s">
        <v>647</v>
      </c>
      <c r="C81" s="711">
        <v>16269244</v>
      </c>
      <c r="D81" s="664">
        <f>C81/C55*100</f>
        <v>2.5468438548310055</v>
      </c>
      <c r="E81" s="725">
        <v>43564000</v>
      </c>
      <c r="F81" s="664">
        <f>E81/E55*100</f>
        <v>2.7952518447224897</v>
      </c>
      <c r="G81" s="711">
        <v>46564000</v>
      </c>
      <c r="H81" s="664">
        <f>G81/G55*100</f>
        <v>2.0089263564804529</v>
      </c>
      <c r="I81" s="715">
        <f t="shared" si="22"/>
        <v>3000000</v>
      </c>
      <c r="J81" s="711">
        <v>44008578</v>
      </c>
      <c r="K81" s="664">
        <f>J81/J55*100</f>
        <v>2.1260478776408696</v>
      </c>
      <c r="L81" s="711">
        <f t="shared" si="13"/>
        <v>2555422</v>
      </c>
      <c r="M81" s="712">
        <f t="shared" si="21"/>
        <v>94.512022163044406</v>
      </c>
    </row>
    <row r="82" spans="1:13" ht="19.5" customHeight="1">
      <c r="A82" s="709" t="s">
        <v>648</v>
      </c>
      <c r="B82" s="723" t="s">
        <v>649</v>
      </c>
      <c r="C82" s="711">
        <v>8382703</v>
      </c>
      <c r="D82" s="664">
        <f>C82/C55*100</f>
        <v>1.3122573871547707</v>
      </c>
      <c r="E82" s="725">
        <v>0</v>
      </c>
      <c r="F82" s="664">
        <f>E82/E55*100</f>
        <v>0</v>
      </c>
      <c r="G82" s="711">
        <v>0</v>
      </c>
      <c r="H82" s="664">
        <f>G82/G55*100</f>
        <v>0</v>
      </c>
      <c r="I82" s="715">
        <f t="shared" si="22"/>
        <v>0</v>
      </c>
      <c r="J82" s="711">
        <v>0</v>
      </c>
      <c r="K82" s="664">
        <f>J82/J55*100</f>
        <v>0</v>
      </c>
      <c r="L82" s="711">
        <f t="shared" si="13"/>
        <v>0</v>
      </c>
      <c r="M82" s="712">
        <v>0</v>
      </c>
    </row>
    <row r="83" spans="1:13" ht="19.5" customHeight="1">
      <c r="A83" s="709" t="s">
        <v>650</v>
      </c>
      <c r="B83" s="723" t="s">
        <v>651</v>
      </c>
      <c r="C83" s="711">
        <v>3141088</v>
      </c>
      <c r="D83" s="664">
        <f>C83/C55*100</f>
        <v>0.49171680443685112</v>
      </c>
      <c r="E83" s="725">
        <v>0</v>
      </c>
      <c r="F83" s="664">
        <f>E83/E55*100</f>
        <v>0</v>
      </c>
      <c r="G83" s="711">
        <v>0</v>
      </c>
      <c r="H83" s="664">
        <f>G83/G55*100</f>
        <v>0</v>
      </c>
      <c r="I83" s="715">
        <f t="shared" si="22"/>
        <v>0</v>
      </c>
      <c r="J83" s="711">
        <v>0</v>
      </c>
      <c r="K83" s="664">
        <f>J83/J55*100</f>
        <v>0</v>
      </c>
      <c r="L83" s="711">
        <f t="shared" si="13"/>
        <v>0</v>
      </c>
      <c r="M83" s="712">
        <v>0</v>
      </c>
    </row>
    <row r="84" spans="1:13" ht="19.5" customHeight="1">
      <c r="A84" s="709" t="s">
        <v>652</v>
      </c>
      <c r="B84" s="723" t="s">
        <v>653</v>
      </c>
      <c r="C84" s="711">
        <v>11486400</v>
      </c>
      <c r="D84" s="664">
        <f>C84/C55*100</f>
        <v>1.7981208748317292</v>
      </c>
      <c r="E84" s="725">
        <v>0</v>
      </c>
      <c r="F84" s="664">
        <f>E84/E55*100</f>
        <v>0</v>
      </c>
      <c r="G84" s="711">
        <v>0</v>
      </c>
      <c r="H84" s="664">
        <f>G84/G55*100</f>
        <v>0</v>
      </c>
      <c r="I84" s="715">
        <f t="shared" si="22"/>
        <v>0</v>
      </c>
      <c r="J84" s="711">
        <v>0</v>
      </c>
      <c r="K84" s="664">
        <f>J84/J55*100</f>
        <v>0</v>
      </c>
      <c r="L84" s="711">
        <f t="shared" si="13"/>
        <v>0</v>
      </c>
      <c r="M84" s="712">
        <v>0</v>
      </c>
    </row>
    <row r="85" spans="1:13" ht="19.5" customHeight="1">
      <c r="A85" s="709" t="s">
        <v>654</v>
      </c>
      <c r="B85" s="723" t="s">
        <v>655</v>
      </c>
      <c r="C85" s="711">
        <v>0</v>
      </c>
      <c r="D85" s="664">
        <f>C85/C55*100</f>
        <v>0</v>
      </c>
      <c r="E85" s="725">
        <v>0</v>
      </c>
      <c r="F85" s="664">
        <f>E85/E55*100</f>
        <v>0</v>
      </c>
      <c r="G85" s="711">
        <v>0</v>
      </c>
      <c r="H85" s="664">
        <f>G85/G55*100</f>
        <v>0</v>
      </c>
      <c r="I85" s="715">
        <f t="shared" si="22"/>
        <v>0</v>
      </c>
      <c r="J85" s="711">
        <v>0</v>
      </c>
      <c r="K85" s="664">
        <f>J85/J55*100</f>
        <v>0</v>
      </c>
      <c r="L85" s="711">
        <f t="shared" si="13"/>
        <v>0</v>
      </c>
      <c r="M85" s="712">
        <v>0</v>
      </c>
    </row>
    <row r="86" spans="1:13" ht="19.5" customHeight="1">
      <c r="A86" s="709" t="s">
        <v>656</v>
      </c>
      <c r="B86" s="723" t="s">
        <v>657</v>
      </c>
      <c r="C86" s="711">
        <v>0</v>
      </c>
      <c r="D86" s="664">
        <f>C86/C55*100</f>
        <v>0</v>
      </c>
      <c r="E86" s="725">
        <v>0</v>
      </c>
      <c r="F86" s="664">
        <f>E86/E55*100</f>
        <v>0</v>
      </c>
      <c r="G86" s="711">
        <v>3000000</v>
      </c>
      <c r="H86" s="664">
        <f>G86/G55*100</f>
        <v>0.12943001179970276</v>
      </c>
      <c r="I86" s="715">
        <f t="shared" si="22"/>
        <v>3000000</v>
      </c>
      <c r="J86" s="711">
        <v>0</v>
      </c>
      <c r="K86" s="664">
        <f>J86/J55*100</f>
        <v>0</v>
      </c>
      <c r="L86" s="711">
        <f t="shared" si="13"/>
        <v>3000000</v>
      </c>
      <c r="M86" s="712">
        <f t="shared" si="21"/>
        <v>0</v>
      </c>
    </row>
    <row r="87" spans="1:13" ht="19.5" customHeight="1">
      <c r="A87" s="709" t="s">
        <v>658</v>
      </c>
      <c r="B87" s="723" t="s">
        <v>659</v>
      </c>
      <c r="C87" s="711">
        <v>0</v>
      </c>
      <c r="D87" s="664">
        <f>C87/C55*100</f>
        <v>0</v>
      </c>
      <c r="E87" s="725">
        <v>0</v>
      </c>
      <c r="F87" s="664">
        <f>E87/E55*100</f>
        <v>0</v>
      </c>
      <c r="G87" s="711">
        <v>0</v>
      </c>
      <c r="H87" s="664">
        <f>G87/G55*100</f>
        <v>0</v>
      </c>
      <c r="I87" s="715">
        <f t="shared" si="22"/>
        <v>0</v>
      </c>
      <c r="J87" s="711">
        <v>0</v>
      </c>
      <c r="K87" s="664">
        <f>J87/J55*100</f>
        <v>0</v>
      </c>
      <c r="L87" s="711">
        <f t="shared" si="13"/>
        <v>0</v>
      </c>
      <c r="M87" s="712">
        <v>0</v>
      </c>
    </row>
    <row r="88" spans="1:13" ht="19.5" customHeight="1">
      <c r="A88" s="709" t="s">
        <v>660</v>
      </c>
      <c r="B88" s="723" t="s">
        <v>661</v>
      </c>
      <c r="C88" s="711">
        <v>0</v>
      </c>
      <c r="D88" s="664">
        <f>C88/C55*100</f>
        <v>0</v>
      </c>
      <c r="E88" s="725">
        <v>4718000</v>
      </c>
      <c r="F88" s="664">
        <f>E88/E55*100</f>
        <v>0.30272698107154317</v>
      </c>
      <c r="G88" s="711">
        <v>0</v>
      </c>
      <c r="H88" s="664">
        <f>G88/G55*100</f>
        <v>0</v>
      </c>
      <c r="I88" s="715">
        <f t="shared" si="22"/>
        <v>-4718000</v>
      </c>
      <c r="J88" s="711">
        <v>0</v>
      </c>
      <c r="K88" s="664">
        <f>J88/J55*100</f>
        <v>0</v>
      </c>
      <c r="L88" s="711">
        <f t="shared" si="13"/>
        <v>0</v>
      </c>
      <c r="M88" s="712" t="e">
        <f t="shared" si="21"/>
        <v>#DIV/0!</v>
      </c>
    </row>
    <row r="89" spans="1:13" ht="19.5" customHeight="1">
      <c r="A89" s="709" t="s">
        <v>662</v>
      </c>
      <c r="B89" s="723" t="s">
        <v>663</v>
      </c>
      <c r="C89" s="711">
        <v>0</v>
      </c>
      <c r="D89" s="664">
        <f>C89/C55*100</f>
        <v>0</v>
      </c>
      <c r="E89" s="725">
        <v>85000000</v>
      </c>
      <c r="F89" s="664">
        <f>E89/E55*100</f>
        <v>5.4539621430863008</v>
      </c>
      <c r="G89" s="711">
        <v>84597690</v>
      </c>
      <c r="H89" s="664">
        <f>G89/G55*100</f>
        <v>3.6498266716425318</v>
      </c>
      <c r="I89" s="715">
        <f t="shared" si="22"/>
        <v>-402310</v>
      </c>
      <c r="J89" s="711">
        <v>84596849</v>
      </c>
      <c r="K89" s="664">
        <f>J89/J55*100</f>
        <v>4.0868612312707562</v>
      </c>
      <c r="L89" s="711">
        <f t="shared" si="13"/>
        <v>841</v>
      </c>
      <c r="M89" s="712">
        <f t="shared" si="21"/>
        <v>99.999005883021155</v>
      </c>
    </row>
    <row r="90" spans="1:13" ht="19.5" customHeight="1">
      <c r="A90" s="709" t="s">
        <v>664</v>
      </c>
      <c r="B90" s="723" t="s">
        <v>665</v>
      </c>
      <c r="C90" s="711">
        <v>15372000</v>
      </c>
      <c r="D90" s="664">
        <f>C90/C55*100</f>
        <v>2.4063861686789019</v>
      </c>
      <c r="E90" s="725">
        <v>0</v>
      </c>
      <c r="F90" s="664">
        <f>E90/E55*100</f>
        <v>0</v>
      </c>
      <c r="G90" s="711">
        <v>0</v>
      </c>
      <c r="H90" s="664">
        <f>G90/G55*100</f>
        <v>0</v>
      </c>
      <c r="I90" s="715">
        <f t="shared" si="22"/>
        <v>0</v>
      </c>
      <c r="J90" s="711">
        <v>0</v>
      </c>
      <c r="K90" s="664">
        <f>J90/J55*100</f>
        <v>0</v>
      </c>
      <c r="L90" s="711">
        <f t="shared" si="13"/>
        <v>0</v>
      </c>
      <c r="M90" s="712">
        <v>0</v>
      </c>
    </row>
    <row r="91" spans="1:13" ht="19.5" customHeight="1">
      <c r="A91" s="709" t="s">
        <v>666</v>
      </c>
      <c r="B91" s="723" t="s">
        <v>667</v>
      </c>
      <c r="C91" s="711">
        <v>0</v>
      </c>
      <c r="D91" s="664">
        <f>C91/C55*100</f>
        <v>0</v>
      </c>
      <c r="E91" s="725">
        <v>7500000</v>
      </c>
      <c r="F91" s="664">
        <f>E91/E55*100</f>
        <v>0.48123195380173239</v>
      </c>
      <c r="G91" s="711">
        <v>2444625</v>
      </c>
      <c r="H91" s="664">
        <f>G91/G55*100</f>
        <v>0.10546928086528277</v>
      </c>
      <c r="I91" s="715">
        <f t="shared" si="22"/>
        <v>-5055375</v>
      </c>
      <c r="J91" s="711">
        <v>2074706</v>
      </c>
      <c r="K91" s="664">
        <f>J91/J55*100</f>
        <v>0.1002287392250842</v>
      </c>
      <c r="L91" s="711">
        <f t="shared" si="13"/>
        <v>369919</v>
      </c>
      <c r="M91" s="712">
        <f t="shared" si="21"/>
        <v>84.868067699544923</v>
      </c>
    </row>
    <row r="92" spans="1:13" ht="19.5" customHeight="1">
      <c r="A92" s="709" t="s">
        <v>668</v>
      </c>
      <c r="B92" s="723" t="s">
        <v>669</v>
      </c>
      <c r="C92" s="711">
        <v>8160000</v>
      </c>
      <c r="D92" s="664">
        <f>C92/C55*100</f>
        <v>1.2773946875110487</v>
      </c>
      <c r="E92" s="725">
        <v>21380000</v>
      </c>
      <c r="F92" s="664">
        <f>E92/E55*100</f>
        <v>1.3718318896374719</v>
      </c>
      <c r="G92" s="711">
        <v>0</v>
      </c>
      <c r="H92" s="664">
        <f>G92/G55*100</f>
        <v>0</v>
      </c>
      <c r="I92" s="715">
        <f t="shared" si="22"/>
        <v>-21380000</v>
      </c>
      <c r="J92" s="711">
        <v>0</v>
      </c>
      <c r="K92" s="664">
        <f>J92/J55*100</f>
        <v>0</v>
      </c>
      <c r="L92" s="711">
        <f t="shared" si="13"/>
        <v>0</v>
      </c>
      <c r="M92" s="712" t="e">
        <f t="shared" si="21"/>
        <v>#DIV/0!</v>
      </c>
    </row>
    <row r="93" spans="1:13" ht="19.5" customHeight="1">
      <c r="A93" s="709" t="s">
        <v>670</v>
      </c>
      <c r="B93" s="723" t="s">
        <v>671</v>
      </c>
      <c r="C93" s="711">
        <v>0</v>
      </c>
      <c r="D93" s="664">
        <f>C93/C55*100</f>
        <v>0</v>
      </c>
      <c r="E93" s="725">
        <v>0</v>
      </c>
      <c r="F93" s="664">
        <f>E93/E55*100</f>
        <v>0</v>
      </c>
      <c r="G93" s="711">
        <v>0</v>
      </c>
      <c r="H93" s="664">
        <f>G93/G55*100</f>
        <v>0</v>
      </c>
      <c r="I93" s="715">
        <f t="shared" si="22"/>
        <v>0</v>
      </c>
      <c r="J93" s="711">
        <v>0</v>
      </c>
      <c r="K93" s="664">
        <f>J93/J55*100</f>
        <v>0</v>
      </c>
      <c r="L93" s="711">
        <f t="shared" si="13"/>
        <v>0</v>
      </c>
      <c r="M93" s="712">
        <v>0</v>
      </c>
    </row>
    <row r="94" spans="1:13" ht="19.5" customHeight="1">
      <c r="A94" s="709" t="s">
        <v>672</v>
      </c>
      <c r="B94" s="723" t="s">
        <v>673</v>
      </c>
      <c r="C94" s="711">
        <v>0</v>
      </c>
      <c r="D94" s="664">
        <f>C94/C55*100</f>
        <v>0</v>
      </c>
      <c r="E94" s="725">
        <v>27500000</v>
      </c>
      <c r="F94" s="664">
        <f>E94/E55*100</f>
        <v>1.7645171639396855</v>
      </c>
      <c r="G94" s="711">
        <v>0</v>
      </c>
      <c r="H94" s="664">
        <f>G94/G55*100</f>
        <v>0</v>
      </c>
      <c r="I94" s="715">
        <f t="shared" si="22"/>
        <v>-27500000</v>
      </c>
      <c r="J94" s="711">
        <v>0</v>
      </c>
      <c r="K94" s="664">
        <f>J94/J55*100</f>
        <v>0</v>
      </c>
      <c r="L94" s="711">
        <f t="shared" si="13"/>
        <v>0</v>
      </c>
      <c r="M94" s="712" t="e">
        <f t="shared" si="21"/>
        <v>#DIV/0!</v>
      </c>
    </row>
    <row r="95" spans="1:13" ht="19.5" customHeight="1">
      <c r="A95" s="709" t="s">
        <v>674</v>
      </c>
      <c r="B95" s="723" t="s">
        <v>675</v>
      </c>
      <c r="C95" s="711">
        <v>0</v>
      </c>
      <c r="D95" s="664">
        <f>C95/C55*100</f>
        <v>0</v>
      </c>
      <c r="E95" s="725">
        <v>15000000</v>
      </c>
      <c r="F95" s="664">
        <f>E95/E55*100</f>
        <v>0.96246390760346479</v>
      </c>
      <c r="G95" s="711">
        <v>9696000</v>
      </c>
      <c r="H95" s="664">
        <f>G95/G55*100</f>
        <v>0.41831779813663922</v>
      </c>
      <c r="I95" s="715">
        <f t="shared" si="22"/>
        <v>-5304000</v>
      </c>
      <c r="J95" s="711">
        <v>9696000</v>
      </c>
      <c r="K95" s="664">
        <f>J95/J55*100</f>
        <v>0.46841232228875629</v>
      </c>
      <c r="L95" s="711">
        <f t="shared" si="13"/>
        <v>0</v>
      </c>
      <c r="M95" s="712">
        <f t="shared" si="21"/>
        <v>100</v>
      </c>
    </row>
    <row r="96" spans="1:13" ht="19.5" customHeight="1">
      <c r="A96" s="709" t="s">
        <v>676</v>
      </c>
      <c r="B96" s="723" t="s">
        <v>677</v>
      </c>
      <c r="C96" s="711">
        <v>0</v>
      </c>
      <c r="D96" s="664">
        <f>C96/C55*100</f>
        <v>0</v>
      </c>
      <c r="E96" s="725">
        <v>17000000</v>
      </c>
      <c r="F96" s="664">
        <f>E96/E55*100</f>
        <v>1.0907924286172603</v>
      </c>
      <c r="G96" s="711">
        <v>0</v>
      </c>
      <c r="H96" s="664">
        <f>G96/G55*100</f>
        <v>0</v>
      </c>
      <c r="I96" s="715">
        <f t="shared" si="22"/>
        <v>-17000000</v>
      </c>
      <c r="J96" s="711">
        <v>0</v>
      </c>
      <c r="K96" s="664">
        <f>J96/J55*100</f>
        <v>0</v>
      </c>
      <c r="L96" s="711">
        <f t="shared" si="13"/>
        <v>0</v>
      </c>
      <c r="M96" s="712">
        <v>0</v>
      </c>
    </row>
    <row r="97" spans="1:13" ht="19.5" customHeight="1">
      <c r="A97" s="709" t="s">
        <v>678</v>
      </c>
      <c r="B97" s="723" t="s">
        <v>679</v>
      </c>
      <c r="C97" s="711">
        <v>952800</v>
      </c>
      <c r="D97" s="664">
        <f>C97/C55*100</f>
        <v>0.14915461498290775</v>
      </c>
      <c r="E97" s="725">
        <v>1000000</v>
      </c>
      <c r="F97" s="664">
        <f>E97/E55*100</f>
        <v>6.4164260506897663E-2</v>
      </c>
      <c r="G97" s="711">
        <v>1000000</v>
      </c>
      <c r="H97" s="664">
        <f>G97/G55*100</f>
        <v>4.3143337266567584E-2</v>
      </c>
      <c r="I97" s="715">
        <f t="shared" si="22"/>
        <v>0</v>
      </c>
      <c r="J97" s="711">
        <v>988800</v>
      </c>
      <c r="K97" s="664">
        <f>J97/J55*100</f>
        <v>4.776878138192267E-2</v>
      </c>
      <c r="L97" s="711">
        <f t="shared" si="13"/>
        <v>11200</v>
      </c>
      <c r="M97" s="712">
        <f t="shared" si="21"/>
        <v>98.88</v>
      </c>
    </row>
    <row r="98" spans="1:13" ht="19.5" customHeight="1">
      <c r="A98" s="709" t="s">
        <v>680</v>
      </c>
      <c r="B98" s="723" t="s">
        <v>681</v>
      </c>
      <c r="C98" s="711">
        <v>6916320</v>
      </c>
      <c r="D98" s="664">
        <f>C98/C55*100</f>
        <v>1.0827047089615707</v>
      </c>
      <c r="E98" s="725">
        <v>0</v>
      </c>
      <c r="F98" s="664">
        <f>E98/E55*100</f>
        <v>0</v>
      </c>
      <c r="G98" s="711">
        <v>0</v>
      </c>
      <c r="H98" s="664">
        <f>G98/G55*100</f>
        <v>0</v>
      </c>
      <c r="I98" s="715">
        <f t="shared" si="22"/>
        <v>0</v>
      </c>
      <c r="J98" s="711">
        <v>0</v>
      </c>
      <c r="K98" s="664">
        <f>J98/J55*100</f>
        <v>0</v>
      </c>
      <c r="L98" s="711">
        <f t="shared" si="13"/>
        <v>0</v>
      </c>
      <c r="M98" s="712">
        <v>0</v>
      </c>
    </row>
    <row r="99" spans="1:13" ht="19.5" customHeight="1">
      <c r="A99" s="709" t="s">
        <v>682</v>
      </c>
      <c r="B99" s="723" t="s">
        <v>683</v>
      </c>
      <c r="C99" s="711">
        <v>0</v>
      </c>
      <c r="D99" s="664">
        <f>C99/C55*100</f>
        <v>0</v>
      </c>
      <c r="E99" s="725">
        <v>0</v>
      </c>
      <c r="F99" s="664">
        <f>E99/E55*100</f>
        <v>0</v>
      </c>
      <c r="G99" s="711">
        <v>0</v>
      </c>
      <c r="H99" s="664">
        <f>G99/G55*100</f>
        <v>0</v>
      </c>
      <c r="I99" s="715">
        <f t="shared" si="22"/>
        <v>0</v>
      </c>
      <c r="J99" s="711">
        <v>0</v>
      </c>
      <c r="K99" s="664">
        <f>J99/J55*100</f>
        <v>0</v>
      </c>
      <c r="L99" s="711">
        <f t="shared" si="13"/>
        <v>0</v>
      </c>
      <c r="M99" s="712">
        <v>0</v>
      </c>
    </row>
    <row r="100" spans="1:13" ht="19.5" customHeight="1">
      <c r="A100" s="709" t="s">
        <v>684</v>
      </c>
      <c r="B100" s="723" t="s">
        <v>685</v>
      </c>
      <c r="C100" s="711">
        <v>0</v>
      </c>
      <c r="D100" s="664">
        <f>C100/C55*100</f>
        <v>0</v>
      </c>
      <c r="E100" s="725">
        <v>15000000</v>
      </c>
      <c r="F100" s="664">
        <f>E100/E55*100</f>
        <v>0.96246390760346479</v>
      </c>
      <c r="G100" s="711">
        <v>0</v>
      </c>
      <c r="H100" s="664">
        <f>G100/G55*100</f>
        <v>0</v>
      </c>
      <c r="I100" s="715">
        <f t="shared" si="22"/>
        <v>-15000000</v>
      </c>
      <c r="J100" s="711">
        <v>0</v>
      </c>
      <c r="K100" s="664">
        <f>J100/J55*100</f>
        <v>0</v>
      </c>
      <c r="L100" s="711">
        <f t="shared" si="13"/>
        <v>0</v>
      </c>
      <c r="M100" s="712" t="e">
        <f t="shared" si="21"/>
        <v>#DIV/0!</v>
      </c>
    </row>
    <row r="101" spans="1:13" ht="19.5" customHeight="1">
      <c r="A101" s="709" t="s">
        <v>686</v>
      </c>
      <c r="B101" s="723" t="s">
        <v>687</v>
      </c>
      <c r="C101" s="711">
        <v>0</v>
      </c>
      <c r="D101" s="664">
        <f>C101/C55*100</f>
        <v>0</v>
      </c>
      <c r="E101" s="725">
        <v>12000000</v>
      </c>
      <c r="F101" s="664">
        <f>E101/E55*100</f>
        <v>0.76997112608277196</v>
      </c>
      <c r="G101" s="711">
        <v>0</v>
      </c>
      <c r="H101" s="664">
        <f>G101/G55*100</f>
        <v>0</v>
      </c>
      <c r="I101" s="715">
        <f t="shared" si="22"/>
        <v>-12000000</v>
      </c>
      <c r="J101" s="711">
        <v>0</v>
      </c>
      <c r="K101" s="664">
        <f>J101/J55*100</f>
        <v>0</v>
      </c>
      <c r="L101" s="711">
        <f t="shared" si="13"/>
        <v>0</v>
      </c>
      <c r="M101" s="712" t="e">
        <f t="shared" si="21"/>
        <v>#DIV/0!</v>
      </c>
    </row>
    <row r="102" spans="1:13" ht="34.5" customHeight="1">
      <c r="A102" s="709" t="s">
        <v>688</v>
      </c>
      <c r="B102" s="723" t="s">
        <v>689</v>
      </c>
      <c r="C102" s="711">
        <v>0</v>
      </c>
      <c r="D102" s="664">
        <f>C102/C55*100</f>
        <v>0</v>
      </c>
      <c r="E102" s="725">
        <v>15000000</v>
      </c>
      <c r="F102" s="664">
        <f>E102/E55*100</f>
        <v>0.96246390760346479</v>
      </c>
      <c r="G102" s="711">
        <v>0</v>
      </c>
      <c r="H102" s="664">
        <f>G102/G55*100</f>
        <v>0</v>
      </c>
      <c r="I102" s="715">
        <f t="shared" si="22"/>
        <v>-15000000</v>
      </c>
      <c r="J102" s="711">
        <v>0</v>
      </c>
      <c r="K102" s="664">
        <f>J102/J55*100</f>
        <v>0</v>
      </c>
      <c r="L102" s="711">
        <f t="shared" si="13"/>
        <v>0</v>
      </c>
      <c r="M102" s="712">
        <v>0</v>
      </c>
    </row>
    <row r="103" spans="1:13" ht="19.5" customHeight="1">
      <c r="A103" s="709" t="s">
        <v>690</v>
      </c>
      <c r="B103" s="723" t="s">
        <v>691</v>
      </c>
      <c r="C103" s="711">
        <v>0</v>
      </c>
      <c r="D103" s="664">
        <f>C103/C55*100</f>
        <v>0</v>
      </c>
      <c r="E103" s="725">
        <v>800000</v>
      </c>
      <c r="F103" s="664">
        <f>E103/E55*100</f>
        <v>5.1331408405518128E-2</v>
      </c>
      <c r="G103" s="711">
        <v>800000</v>
      </c>
      <c r="H103" s="664">
        <f>G103/G55*100</f>
        <v>3.4514669813254066E-2</v>
      </c>
      <c r="I103" s="715">
        <f t="shared" si="22"/>
        <v>0</v>
      </c>
      <c r="J103" s="711">
        <v>765600</v>
      </c>
      <c r="K103" s="664">
        <f>J103/J55*100</f>
        <v>3.6986022477750805E-2</v>
      </c>
      <c r="L103" s="711">
        <f t="shared" si="13"/>
        <v>34400</v>
      </c>
      <c r="M103" s="712">
        <f t="shared" si="21"/>
        <v>95.7</v>
      </c>
    </row>
    <row r="104" spans="1:13" ht="19.5" customHeight="1">
      <c r="A104" s="709" t="s">
        <v>692</v>
      </c>
      <c r="B104" s="723" t="s">
        <v>693</v>
      </c>
      <c r="C104" s="711">
        <v>0</v>
      </c>
      <c r="D104" s="664">
        <f>C104/C55*100</f>
        <v>0</v>
      </c>
      <c r="E104" s="725">
        <v>20000000</v>
      </c>
      <c r="F104" s="664">
        <f>E104/E55*100</f>
        <v>1.2832852101379533</v>
      </c>
      <c r="G104" s="711">
        <v>20000000</v>
      </c>
      <c r="H104" s="664">
        <f>G104/G55*100</f>
        <v>0.86286674533135166</v>
      </c>
      <c r="I104" s="715">
        <f t="shared" si="22"/>
        <v>0</v>
      </c>
      <c r="J104" s="711">
        <v>0</v>
      </c>
      <c r="K104" s="664">
        <f>J104/J55*100</f>
        <v>0</v>
      </c>
      <c r="L104" s="711">
        <f t="shared" si="13"/>
        <v>20000000</v>
      </c>
      <c r="M104" s="712">
        <f t="shared" si="21"/>
        <v>0</v>
      </c>
    </row>
    <row r="105" spans="1:13" ht="19.5" customHeight="1">
      <c r="A105" s="709" t="s">
        <v>694</v>
      </c>
      <c r="B105" s="723" t="s">
        <v>695</v>
      </c>
      <c r="C105" s="711">
        <v>0</v>
      </c>
      <c r="D105" s="669">
        <f>C105/C55*100</f>
        <v>0</v>
      </c>
      <c r="E105" s="724">
        <v>3000000</v>
      </c>
      <c r="F105" s="669">
        <f>E105/E55*100</f>
        <v>0.19249278152069299</v>
      </c>
      <c r="G105" s="670">
        <v>3000000</v>
      </c>
      <c r="H105" s="669">
        <f>G105/G55*100</f>
        <v>0.12943001179970276</v>
      </c>
      <c r="I105" s="680">
        <f t="shared" si="22"/>
        <v>0</v>
      </c>
      <c r="J105" s="670">
        <v>0</v>
      </c>
      <c r="K105" s="669">
        <f>J105/J55*100</f>
        <v>0</v>
      </c>
      <c r="L105" s="711">
        <f t="shared" si="13"/>
        <v>3000000</v>
      </c>
      <c r="M105" s="712">
        <f t="shared" si="21"/>
        <v>0</v>
      </c>
    </row>
    <row r="106" spans="1:13" ht="19.5" customHeight="1">
      <c r="A106" s="709" t="s">
        <v>696</v>
      </c>
      <c r="B106" s="723" t="s">
        <v>697</v>
      </c>
      <c r="C106" s="711">
        <v>0</v>
      </c>
      <c r="D106" s="669">
        <f>C106/C55*100</f>
        <v>0</v>
      </c>
      <c r="E106" s="724">
        <v>800000</v>
      </c>
      <c r="F106" s="669">
        <f>E106/E55*100</f>
        <v>5.1331408405518128E-2</v>
      </c>
      <c r="G106" s="670">
        <v>800000</v>
      </c>
      <c r="H106" s="669">
        <f>G106/G55*100</f>
        <v>3.4514669813254066E-2</v>
      </c>
      <c r="I106" s="680">
        <f t="shared" si="22"/>
        <v>0</v>
      </c>
      <c r="J106" s="670">
        <v>672384</v>
      </c>
      <c r="K106" s="669">
        <f>J106/J55*100</f>
        <v>3.2482771339707416E-2</v>
      </c>
      <c r="L106" s="711">
        <f t="shared" si="13"/>
        <v>127616</v>
      </c>
      <c r="M106" s="712">
        <f t="shared" si="21"/>
        <v>84.048000000000002</v>
      </c>
    </row>
    <row r="107" spans="1:13" ht="19.5" customHeight="1">
      <c r="A107" s="709" t="s">
        <v>698</v>
      </c>
      <c r="B107" s="723" t="s">
        <v>699</v>
      </c>
      <c r="C107" s="711">
        <v>0</v>
      </c>
      <c r="D107" s="669">
        <f>C107/C55*100</f>
        <v>0</v>
      </c>
      <c r="E107" s="724">
        <v>2160000</v>
      </c>
      <c r="F107" s="669">
        <f>E107/E55*100</f>
        <v>0.13859480269489893</v>
      </c>
      <c r="G107" s="670">
        <v>2160000</v>
      </c>
      <c r="H107" s="669">
        <f>G107/G55*100</f>
        <v>9.3189608495785975E-2</v>
      </c>
      <c r="I107" s="680">
        <f t="shared" si="22"/>
        <v>0</v>
      </c>
      <c r="J107" s="670">
        <v>0</v>
      </c>
      <c r="K107" s="669">
        <f>J107/J55*100</f>
        <v>0</v>
      </c>
      <c r="L107" s="711">
        <f t="shared" ref="L107:L133" si="23">G107-J107</f>
        <v>2160000</v>
      </c>
      <c r="M107" s="712">
        <f t="shared" si="21"/>
        <v>0</v>
      </c>
    </row>
    <row r="108" spans="1:13" ht="19.5" customHeight="1">
      <c r="A108" s="709" t="s">
        <v>700</v>
      </c>
      <c r="B108" s="723" t="s">
        <v>701</v>
      </c>
      <c r="C108" s="711">
        <v>0</v>
      </c>
      <c r="D108" s="669">
        <f>C108/C55*100</f>
        <v>0</v>
      </c>
      <c r="E108" s="724">
        <v>7813000</v>
      </c>
      <c r="F108" s="669">
        <f>E108/E55*100</f>
        <v>0.50131536734039139</v>
      </c>
      <c r="G108" s="670">
        <v>7813000</v>
      </c>
      <c r="H108" s="669">
        <f>G108/G55*100</f>
        <v>0.33707889406369251</v>
      </c>
      <c r="I108" s="680">
        <f t="shared" si="22"/>
        <v>0</v>
      </c>
      <c r="J108" s="670">
        <v>0</v>
      </c>
      <c r="K108" s="669">
        <f>J108/J55*100</f>
        <v>0</v>
      </c>
      <c r="L108" s="711">
        <f t="shared" si="23"/>
        <v>7813000</v>
      </c>
      <c r="M108" s="712">
        <f t="shared" si="21"/>
        <v>0</v>
      </c>
    </row>
    <row r="109" spans="1:13" ht="19.5" customHeight="1">
      <c r="A109" s="709" t="s">
        <v>702</v>
      </c>
      <c r="B109" s="723" t="s">
        <v>703</v>
      </c>
      <c r="C109" s="711">
        <v>0</v>
      </c>
      <c r="D109" s="669">
        <f>C109/C55*100</f>
        <v>0</v>
      </c>
      <c r="E109" s="724">
        <v>0</v>
      </c>
      <c r="F109" s="669">
        <f>E109/E55*100</f>
        <v>0</v>
      </c>
      <c r="G109" s="670">
        <v>380000</v>
      </c>
      <c r="H109" s="669">
        <f>G109/G55*100</f>
        <v>1.6394468161295681E-2</v>
      </c>
      <c r="I109" s="680">
        <f t="shared" si="22"/>
        <v>380000</v>
      </c>
      <c r="J109" s="670">
        <v>356400</v>
      </c>
      <c r="K109" s="669">
        <f>J109/J55*100</f>
        <v>1.721763115343572E-2</v>
      </c>
      <c r="L109" s="711">
        <f t="shared" si="23"/>
        <v>23600</v>
      </c>
      <c r="M109" s="712">
        <f t="shared" si="21"/>
        <v>93.78947368421052</v>
      </c>
    </row>
    <row r="110" spans="1:13" ht="19.5" customHeight="1">
      <c r="A110" s="709" t="s">
        <v>702</v>
      </c>
      <c r="B110" s="723" t="s">
        <v>704</v>
      </c>
      <c r="C110" s="711">
        <v>0</v>
      </c>
      <c r="D110" s="669">
        <f>C110/C55*100</f>
        <v>0</v>
      </c>
      <c r="E110" s="724">
        <v>0</v>
      </c>
      <c r="F110" s="669">
        <f>E110/E55*100</f>
        <v>0</v>
      </c>
      <c r="G110" s="670">
        <v>495000</v>
      </c>
      <c r="H110" s="669">
        <f>G110/G55*100</f>
        <v>2.1355951946950953E-2</v>
      </c>
      <c r="I110" s="680">
        <f t="shared" si="22"/>
        <v>495000</v>
      </c>
      <c r="J110" s="670">
        <v>0</v>
      </c>
      <c r="K110" s="669">
        <f>J110/J55*100</f>
        <v>0</v>
      </c>
      <c r="L110" s="711">
        <f t="shared" si="23"/>
        <v>495000</v>
      </c>
      <c r="M110" s="712">
        <f t="shared" si="21"/>
        <v>0</v>
      </c>
    </row>
    <row r="111" spans="1:13" ht="19.5" customHeight="1">
      <c r="A111" s="709" t="s">
        <v>702</v>
      </c>
      <c r="B111" s="723" t="s">
        <v>705</v>
      </c>
      <c r="C111" s="711">
        <v>0</v>
      </c>
      <c r="D111" s="669">
        <f>C111/C55*100</f>
        <v>0</v>
      </c>
      <c r="E111" s="724">
        <v>0</v>
      </c>
      <c r="F111" s="669">
        <f>E111/E55*100</f>
        <v>0</v>
      </c>
      <c r="G111" s="670">
        <v>180000</v>
      </c>
      <c r="H111" s="669">
        <f>G111/G55*100</f>
        <v>7.765800707982164E-3</v>
      </c>
      <c r="I111" s="680">
        <f t="shared" si="22"/>
        <v>180000</v>
      </c>
      <c r="J111" s="670">
        <v>0</v>
      </c>
      <c r="K111" s="669">
        <f>J111/J55*100</f>
        <v>0</v>
      </c>
      <c r="L111" s="711">
        <f t="shared" si="23"/>
        <v>180000</v>
      </c>
      <c r="M111" s="712">
        <f t="shared" si="21"/>
        <v>0</v>
      </c>
    </row>
    <row r="112" spans="1:13" ht="19.5" customHeight="1">
      <c r="A112" s="709" t="s">
        <v>706</v>
      </c>
      <c r="B112" s="723" t="s">
        <v>707</v>
      </c>
      <c r="C112" s="711">
        <v>24841769</v>
      </c>
      <c r="D112" s="669">
        <f>C112/C55*100</f>
        <v>3.8888166359040022</v>
      </c>
      <c r="E112" s="724">
        <v>0</v>
      </c>
      <c r="F112" s="669">
        <f>E112/E55*100</f>
        <v>0</v>
      </c>
      <c r="G112" s="670">
        <v>0</v>
      </c>
      <c r="H112" s="669">
        <f>G112/G55*100</f>
        <v>0</v>
      </c>
      <c r="I112" s="680">
        <f t="shared" si="22"/>
        <v>0</v>
      </c>
      <c r="J112" s="670">
        <v>0</v>
      </c>
      <c r="K112" s="669">
        <f>J112/J55*100</f>
        <v>0</v>
      </c>
      <c r="L112" s="711">
        <f t="shared" si="23"/>
        <v>0</v>
      </c>
      <c r="M112" s="712" t="e">
        <f t="shared" si="21"/>
        <v>#DIV/0!</v>
      </c>
    </row>
    <row r="113" spans="1:13" ht="19.5" customHeight="1">
      <c r="A113" s="709" t="s">
        <v>708</v>
      </c>
      <c r="B113" s="723" t="s">
        <v>709</v>
      </c>
      <c r="C113" s="711">
        <v>0</v>
      </c>
      <c r="D113" s="669">
        <f>C113/C55*100</f>
        <v>0</v>
      </c>
      <c r="E113" s="724">
        <v>5200000</v>
      </c>
      <c r="F113" s="669">
        <f>E113/E55*100</f>
        <v>0.33365415463586778</v>
      </c>
      <c r="G113" s="670">
        <v>33157076</v>
      </c>
      <c r="H113" s="669">
        <f>G113/G55*100</f>
        <v>1.4305069126412135</v>
      </c>
      <c r="I113" s="680">
        <f t="shared" si="22"/>
        <v>27957076</v>
      </c>
      <c r="J113" s="670">
        <v>30706600</v>
      </c>
      <c r="K113" s="669">
        <f>J113/J55*100</f>
        <v>1.4834312928622033</v>
      </c>
      <c r="L113" s="711">
        <f t="shared" si="23"/>
        <v>2450476</v>
      </c>
      <c r="M113" s="712">
        <f t="shared" si="21"/>
        <v>92.609493068689162</v>
      </c>
    </row>
    <row r="114" spans="1:13" ht="19.5" customHeight="1">
      <c r="A114" s="709" t="s">
        <v>710</v>
      </c>
      <c r="B114" s="723" t="s">
        <v>711</v>
      </c>
      <c r="C114" s="711">
        <v>0</v>
      </c>
      <c r="D114" s="669">
        <f>C114/C55*100</f>
        <v>0</v>
      </c>
      <c r="E114" s="724">
        <v>0</v>
      </c>
      <c r="F114" s="669">
        <f>E114/E55*100</f>
        <v>0</v>
      </c>
      <c r="G114" s="670">
        <v>0</v>
      </c>
      <c r="H114" s="669">
        <f>G114/G55*100</f>
        <v>0</v>
      </c>
      <c r="I114" s="680">
        <f t="shared" si="22"/>
        <v>0</v>
      </c>
      <c r="J114" s="670">
        <v>0</v>
      </c>
      <c r="K114" s="669">
        <f>J114/J55*100</f>
        <v>0</v>
      </c>
      <c r="L114" s="711">
        <f t="shared" si="23"/>
        <v>0</v>
      </c>
      <c r="M114" s="712">
        <v>0</v>
      </c>
    </row>
    <row r="115" spans="1:13" ht="19.5" customHeight="1">
      <c r="A115" s="709" t="s">
        <v>712</v>
      </c>
      <c r="B115" s="723" t="s">
        <v>713</v>
      </c>
      <c r="C115" s="711">
        <v>0</v>
      </c>
      <c r="D115" s="669">
        <f>C115/C55*100</f>
        <v>0</v>
      </c>
      <c r="E115" s="724">
        <v>5173000</v>
      </c>
      <c r="F115" s="669">
        <f>E115/E55*100</f>
        <v>0.33192171960218159</v>
      </c>
      <c r="G115" s="670">
        <v>7153200</v>
      </c>
      <c r="H115" s="669">
        <f>G115/G55*100</f>
        <v>0.30861292013521119</v>
      </c>
      <c r="I115" s="680">
        <f t="shared" si="22"/>
        <v>1980200</v>
      </c>
      <c r="J115" s="670">
        <v>7153200</v>
      </c>
      <c r="K115" s="669">
        <f>J115/J55*100</f>
        <v>0.34557003133208863</v>
      </c>
      <c r="L115" s="711">
        <f t="shared" si="23"/>
        <v>0</v>
      </c>
      <c r="M115" s="712">
        <f t="shared" si="21"/>
        <v>100</v>
      </c>
    </row>
    <row r="116" spans="1:13" ht="19.5" customHeight="1">
      <c r="A116" s="709" t="s">
        <v>714</v>
      </c>
      <c r="B116" s="723" t="s">
        <v>715</v>
      </c>
      <c r="C116" s="711">
        <v>70000000</v>
      </c>
      <c r="D116" s="669">
        <f>C116/C55*100</f>
        <v>10.958042662472231</v>
      </c>
      <c r="E116" s="724">
        <v>62682000</v>
      </c>
      <c r="F116" s="669">
        <f>E116/E55*100</f>
        <v>4.0219441770933591</v>
      </c>
      <c r="G116" s="670">
        <v>138073075</v>
      </c>
      <c r="H116" s="669">
        <f>G116/G55*100</f>
        <v>5.9569332421570813</v>
      </c>
      <c r="I116" s="680">
        <f t="shared" si="22"/>
        <v>75391075</v>
      </c>
      <c r="J116" s="670">
        <v>131392262</v>
      </c>
      <c r="K116" s="669">
        <f>J116/J55*100</f>
        <v>6.3475406945330759</v>
      </c>
      <c r="L116" s="711">
        <f t="shared" si="23"/>
        <v>6680813</v>
      </c>
      <c r="M116" s="712">
        <f t="shared" si="21"/>
        <v>95.161393341895234</v>
      </c>
    </row>
    <row r="117" spans="1:13" s="335" customFormat="1" ht="19.5" customHeight="1">
      <c r="A117" s="726" t="s">
        <v>716</v>
      </c>
      <c r="B117" s="697" t="s">
        <v>717</v>
      </c>
      <c r="C117" s="670">
        <v>0</v>
      </c>
      <c r="D117" s="669">
        <f>C117/C55*100</f>
        <v>0</v>
      </c>
      <c r="E117" s="724">
        <v>0</v>
      </c>
      <c r="F117" s="669">
        <f>E117/E55*100</f>
        <v>0</v>
      </c>
      <c r="G117" s="670">
        <v>0</v>
      </c>
      <c r="H117" s="669">
        <f>G117/G55*100</f>
        <v>0</v>
      </c>
      <c r="I117" s="680">
        <f t="shared" si="22"/>
        <v>0</v>
      </c>
      <c r="J117" s="670">
        <v>0</v>
      </c>
      <c r="K117" s="669">
        <f>J117/J55*100</f>
        <v>0</v>
      </c>
      <c r="L117" s="670">
        <f t="shared" si="23"/>
        <v>0</v>
      </c>
      <c r="M117" s="717">
        <v>0</v>
      </c>
    </row>
    <row r="118" spans="1:13" s="335" customFormat="1" ht="19.5" customHeight="1">
      <c r="A118" s="726" t="s">
        <v>718</v>
      </c>
      <c r="B118" s="697" t="s">
        <v>719</v>
      </c>
      <c r="C118" s="670">
        <v>0</v>
      </c>
      <c r="D118" s="669">
        <f>C118/C55*100</f>
        <v>0</v>
      </c>
      <c r="E118" s="724">
        <v>0</v>
      </c>
      <c r="F118" s="669">
        <f>E118/E55*100</f>
        <v>0</v>
      </c>
      <c r="G118" s="670">
        <v>0</v>
      </c>
      <c r="H118" s="669">
        <f>G118/G55*100</f>
        <v>0</v>
      </c>
      <c r="I118" s="680">
        <f t="shared" si="22"/>
        <v>0</v>
      </c>
      <c r="J118" s="670">
        <v>0</v>
      </c>
      <c r="K118" s="669">
        <f>J118/J55*100</f>
        <v>0</v>
      </c>
      <c r="L118" s="670">
        <f t="shared" si="23"/>
        <v>0</v>
      </c>
      <c r="M118" s="717">
        <v>0</v>
      </c>
    </row>
    <row r="119" spans="1:13" s="335" customFormat="1" ht="19.5" customHeight="1">
      <c r="A119" s="726" t="s">
        <v>720</v>
      </c>
      <c r="B119" s="697" t="s">
        <v>721</v>
      </c>
      <c r="C119" s="670">
        <v>0</v>
      </c>
      <c r="D119" s="669">
        <f>C119/C55*100</f>
        <v>0</v>
      </c>
      <c r="E119" s="724">
        <v>0</v>
      </c>
      <c r="F119" s="669">
        <f>E119/E55*100</f>
        <v>0</v>
      </c>
      <c r="G119" s="670">
        <v>0</v>
      </c>
      <c r="H119" s="669">
        <f>G119/G55*100</f>
        <v>0</v>
      </c>
      <c r="I119" s="680">
        <f t="shared" si="22"/>
        <v>0</v>
      </c>
      <c r="J119" s="670">
        <v>0</v>
      </c>
      <c r="K119" s="669">
        <f>J119/J55*100</f>
        <v>0</v>
      </c>
      <c r="L119" s="670">
        <f t="shared" si="23"/>
        <v>0</v>
      </c>
      <c r="M119" s="717">
        <v>0</v>
      </c>
    </row>
    <row r="120" spans="1:13" s="335" customFormat="1" ht="19.5" customHeight="1">
      <c r="A120" s="726" t="s">
        <v>722</v>
      </c>
      <c r="B120" s="697" t="s">
        <v>723</v>
      </c>
      <c r="C120" s="670">
        <v>0</v>
      </c>
      <c r="D120" s="669">
        <f>C120/C55*100</f>
        <v>0</v>
      </c>
      <c r="E120" s="724">
        <v>1000000</v>
      </c>
      <c r="F120" s="669">
        <f>E120/E55*100</f>
        <v>6.4164260506897663E-2</v>
      </c>
      <c r="G120" s="670">
        <v>1000000</v>
      </c>
      <c r="H120" s="669">
        <f>G120/G55*100</f>
        <v>4.3143337266567584E-2</v>
      </c>
      <c r="I120" s="680">
        <f t="shared" si="22"/>
        <v>0</v>
      </c>
      <c r="J120" s="670">
        <v>0</v>
      </c>
      <c r="K120" s="669">
        <f>J120/J55*100</f>
        <v>0</v>
      </c>
      <c r="L120" s="670">
        <f t="shared" si="23"/>
        <v>1000000</v>
      </c>
      <c r="M120" s="717">
        <f t="shared" si="21"/>
        <v>0</v>
      </c>
    </row>
    <row r="121" spans="1:13" s="335" customFormat="1" ht="30.75" customHeight="1">
      <c r="A121" s="726" t="s">
        <v>724</v>
      </c>
      <c r="B121" s="697" t="s">
        <v>725</v>
      </c>
      <c r="C121" s="670">
        <v>0</v>
      </c>
      <c r="D121" s="669">
        <f>C121/C55*100</f>
        <v>0</v>
      </c>
      <c r="E121" s="724">
        <v>20000000</v>
      </c>
      <c r="F121" s="669">
        <f>E121/E55*100</f>
        <v>1.2832852101379533</v>
      </c>
      <c r="G121" s="670">
        <v>20000000</v>
      </c>
      <c r="H121" s="669">
        <f>G121/G55*100</f>
        <v>0.86286674533135166</v>
      </c>
      <c r="I121" s="680">
        <f t="shared" si="22"/>
        <v>0</v>
      </c>
      <c r="J121" s="670">
        <v>0</v>
      </c>
      <c r="K121" s="669">
        <f>J121/J55*100</f>
        <v>0</v>
      </c>
      <c r="L121" s="670">
        <f t="shared" si="23"/>
        <v>20000000</v>
      </c>
      <c r="M121" s="717">
        <f t="shared" si="21"/>
        <v>0</v>
      </c>
    </row>
    <row r="122" spans="1:13" s="335" customFormat="1" ht="27" customHeight="1">
      <c r="A122" s="726" t="s">
        <v>726</v>
      </c>
      <c r="B122" s="697" t="s">
        <v>727</v>
      </c>
      <c r="C122" s="670"/>
      <c r="D122" s="669">
        <f>C122/C55*100</f>
        <v>0</v>
      </c>
      <c r="E122" s="724">
        <v>500000</v>
      </c>
      <c r="F122" s="669">
        <f>E122/E55*100</f>
        <v>3.2082130253448832E-2</v>
      </c>
      <c r="G122" s="670">
        <v>0</v>
      </c>
      <c r="H122" s="669">
        <f>G122/G55*100</f>
        <v>0</v>
      </c>
      <c r="I122" s="680">
        <f t="shared" si="22"/>
        <v>-500000</v>
      </c>
      <c r="J122" s="670">
        <v>0</v>
      </c>
      <c r="K122" s="669">
        <f>J122/J55*100</f>
        <v>0</v>
      </c>
      <c r="L122" s="670">
        <f t="shared" si="23"/>
        <v>0</v>
      </c>
      <c r="M122" s="717" t="e">
        <f t="shared" si="21"/>
        <v>#DIV/0!</v>
      </c>
    </row>
    <row r="123" spans="1:13" s="335" customFormat="1" ht="27.75" customHeight="1">
      <c r="A123" s="726" t="s">
        <v>728</v>
      </c>
      <c r="B123" s="697" t="s">
        <v>729</v>
      </c>
      <c r="C123" s="670"/>
      <c r="D123" s="669">
        <f>C123/C55*100</f>
        <v>0</v>
      </c>
      <c r="E123" s="724">
        <v>20000000</v>
      </c>
      <c r="F123" s="669">
        <f>E123/E55*100</f>
        <v>1.2832852101379533</v>
      </c>
      <c r="G123" s="670">
        <f>E123</f>
        <v>20000000</v>
      </c>
      <c r="H123" s="669">
        <f>G123/G55*100</f>
        <v>0.86286674533135166</v>
      </c>
      <c r="I123" s="680">
        <f t="shared" si="22"/>
        <v>0</v>
      </c>
      <c r="J123" s="670">
        <v>19947637</v>
      </c>
      <c r="K123" s="669">
        <f>J123/J55*100</f>
        <v>0.9636673856583251</v>
      </c>
      <c r="L123" s="670">
        <f t="shared" si="23"/>
        <v>52363</v>
      </c>
      <c r="M123" s="717">
        <f t="shared" si="21"/>
        <v>99.738185000000001</v>
      </c>
    </row>
    <row r="124" spans="1:13" s="335" customFormat="1" ht="24.75" customHeight="1">
      <c r="A124" s="726" t="s">
        <v>730</v>
      </c>
      <c r="B124" s="697" t="s">
        <v>731</v>
      </c>
      <c r="C124" s="670"/>
      <c r="D124" s="669">
        <f>C124/C55*100</f>
        <v>0</v>
      </c>
      <c r="E124" s="724">
        <v>20000000</v>
      </c>
      <c r="F124" s="669">
        <f>E124/E55*100</f>
        <v>1.2832852101379533</v>
      </c>
      <c r="G124" s="670">
        <v>0</v>
      </c>
      <c r="H124" s="669">
        <f>G124/G55*100</f>
        <v>0</v>
      </c>
      <c r="I124" s="680">
        <f t="shared" si="22"/>
        <v>-20000000</v>
      </c>
      <c r="J124" s="670">
        <v>0</v>
      </c>
      <c r="K124" s="669">
        <f>J124/J55*100</f>
        <v>0</v>
      </c>
      <c r="L124" s="670">
        <f t="shared" si="23"/>
        <v>0</v>
      </c>
      <c r="M124" s="717">
        <v>0</v>
      </c>
    </row>
    <row r="125" spans="1:13" s="335" customFormat="1" ht="19.5" customHeight="1">
      <c r="A125" s="726" t="s">
        <v>732</v>
      </c>
      <c r="B125" s="697" t="s">
        <v>733</v>
      </c>
      <c r="C125" s="670"/>
      <c r="D125" s="669">
        <f>C125/C55*100</f>
        <v>0</v>
      </c>
      <c r="E125" s="724">
        <v>60000000</v>
      </c>
      <c r="F125" s="669">
        <f>E125/E55*100</f>
        <v>3.8498556304138591</v>
      </c>
      <c r="G125" s="670">
        <v>21600000</v>
      </c>
      <c r="H125" s="669">
        <f>G125/G55*100</f>
        <v>0.9318960849578598</v>
      </c>
      <c r="I125" s="680">
        <f t="shared" ref="I125:I133" si="24">G125-E125</f>
        <v>-38400000</v>
      </c>
      <c r="J125" s="670">
        <v>21392400</v>
      </c>
      <c r="K125" s="669">
        <f>J125/J55*100</f>
        <v>1.0334636719606014</v>
      </c>
      <c r="L125" s="670">
        <f t="shared" si="23"/>
        <v>207600</v>
      </c>
      <c r="M125" s="717">
        <f t="shared" ref="M125:M142" si="25">J125/G125*100</f>
        <v>99.038888888888891</v>
      </c>
    </row>
    <row r="126" spans="1:13" s="335" customFormat="1" ht="19.5" customHeight="1">
      <c r="A126" s="726"/>
      <c r="B126" s="697"/>
      <c r="C126" s="670"/>
      <c r="D126" s="669">
        <f>C126/C55*100</f>
        <v>0</v>
      </c>
      <c r="E126" s="724"/>
      <c r="F126" s="669">
        <f>E126/E55*100</f>
        <v>0</v>
      </c>
      <c r="G126" s="670"/>
      <c r="H126" s="669">
        <f>G126/G55*100</f>
        <v>0</v>
      </c>
      <c r="I126" s="680">
        <f t="shared" si="24"/>
        <v>0</v>
      </c>
      <c r="J126" s="670"/>
      <c r="K126" s="669">
        <f>J126/J55*100</f>
        <v>0</v>
      </c>
      <c r="L126" s="670">
        <f t="shared" si="23"/>
        <v>0</v>
      </c>
      <c r="M126" s="717">
        <v>0</v>
      </c>
    </row>
    <row r="127" spans="1:13" s="335" customFormat="1" ht="19.5" customHeight="1">
      <c r="A127" s="726" t="s">
        <v>734</v>
      </c>
      <c r="B127" s="697" t="s">
        <v>735</v>
      </c>
      <c r="C127" s="670"/>
      <c r="D127" s="669">
        <f>C127/C55*100</f>
        <v>0</v>
      </c>
      <c r="E127" s="724">
        <v>31286000</v>
      </c>
      <c r="F127" s="669">
        <f>E127/E55*100</f>
        <v>2.0074430542188</v>
      </c>
      <c r="G127" s="670">
        <v>0</v>
      </c>
      <c r="H127" s="669">
        <f>G127/G55*100</f>
        <v>0</v>
      </c>
      <c r="I127" s="680">
        <f t="shared" si="24"/>
        <v>-31286000</v>
      </c>
      <c r="J127" s="670">
        <v>0</v>
      </c>
      <c r="K127" s="669">
        <f>J127/J55*100</f>
        <v>0</v>
      </c>
      <c r="L127" s="670">
        <f t="shared" si="23"/>
        <v>0</v>
      </c>
      <c r="M127" s="717">
        <v>0</v>
      </c>
    </row>
    <row r="128" spans="1:13" s="335" customFormat="1" ht="19.5" customHeight="1">
      <c r="A128" s="726" t="s">
        <v>736</v>
      </c>
      <c r="B128" s="697" t="s">
        <v>737</v>
      </c>
      <c r="C128" s="670"/>
      <c r="D128" s="669">
        <f>C128/C55*100</f>
        <v>0</v>
      </c>
      <c r="E128" s="724"/>
      <c r="F128" s="669">
        <f>E128/E55*100</f>
        <v>0</v>
      </c>
      <c r="G128" s="670">
        <v>0</v>
      </c>
      <c r="H128" s="669">
        <f>G128/G55*100</f>
        <v>0</v>
      </c>
      <c r="I128" s="680">
        <f t="shared" si="24"/>
        <v>0</v>
      </c>
      <c r="J128" s="670">
        <v>0</v>
      </c>
      <c r="K128" s="669">
        <f>J128/J55*100</f>
        <v>0</v>
      </c>
      <c r="L128" s="670">
        <f t="shared" si="23"/>
        <v>0</v>
      </c>
      <c r="M128" s="717" t="e">
        <f t="shared" si="25"/>
        <v>#DIV/0!</v>
      </c>
    </row>
    <row r="129" spans="1:13" s="335" customFormat="1" ht="19.5" customHeight="1">
      <c r="A129" s="726" t="s">
        <v>738</v>
      </c>
      <c r="B129" s="697" t="s">
        <v>739</v>
      </c>
      <c r="C129" s="670"/>
      <c r="D129" s="669">
        <f>C129/C55*100</f>
        <v>0</v>
      </c>
      <c r="E129" s="724"/>
      <c r="F129" s="669">
        <f>E129/E55*100</f>
        <v>0</v>
      </c>
      <c r="G129" s="670">
        <v>7100000</v>
      </c>
      <c r="H129" s="669">
        <f>G129/G55*100</f>
        <v>0.30631769459262981</v>
      </c>
      <c r="I129" s="680">
        <f t="shared" si="24"/>
        <v>7100000</v>
      </c>
      <c r="J129" s="670">
        <v>0</v>
      </c>
      <c r="K129" s="669">
        <f>J129/J55*100</f>
        <v>0</v>
      </c>
      <c r="L129" s="670">
        <f t="shared" si="23"/>
        <v>7100000</v>
      </c>
      <c r="M129" s="717">
        <f t="shared" si="25"/>
        <v>0</v>
      </c>
    </row>
    <row r="130" spans="1:13" s="335" customFormat="1" ht="19.5" customHeight="1">
      <c r="A130" s="726" t="s">
        <v>734</v>
      </c>
      <c r="B130" s="697" t="s">
        <v>740</v>
      </c>
      <c r="C130" s="670">
        <v>48347047</v>
      </c>
      <c r="D130" s="669">
        <f>C130/C55*100</f>
        <v>7.5684143375792861</v>
      </c>
      <c r="E130" s="724">
        <v>12204000</v>
      </c>
      <c r="F130" s="669">
        <f>E130/E55*100</f>
        <v>0.78306063522617897</v>
      </c>
      <c r="G130" s="670">
        <v>136837000</v>
      </c>
      <c r="H130" s="669">
        <f>G130/G55*100</f>
        <v>5.9036048415453086</v>
      </c>
      <c r="I130" s="680">
        <f t="shared" si="24"/>
        <v>124633000</v>
      </c>
      <c r="J130" s="670">
        <v>126768609</v>
      </c>
      <c r="K130" s="669">
        <f>J130/J55*100</f>
        <v>6.1241727036927944</v>
      </c>
      <c r="L130" s="670">
        <f t="shared" si="23"/>
        <v>10068391</v>
      </c>
      <c r="M130" s="717">
        <f t="shared" si="25"/>
        <v>92.642055145903527</v>
      </c>
    </row>
    <row r="131" spans="1:13" s="335" customFormat="1" ht="19.5" customHeight="1">
      <c r="A131" s="726" t="s">
        <v>741</v>
      </c>
      <c r="B131" s="697" t="s">
        <v>742</v>
      </c>
      <c r="C131" s="670">
        <v>0</v>
      </c>
      <c r="D131" s="669">
        <f>C131/C55*100</f>
        <v>0</v>
      </c>
      <c r="E131" s="724">
        <v>7000000</v>
      </c>
      <c r="F131" s="669">
        <f>E131/E55*100</f>
        <v>0.44914982354828364</v>
      </c>
      <c r="G131" s="670">
        <v>7000000</v>
      </c>
      <c r="H131" s="669">
        <f>G131/G55*100</f>
        <v>0.30200336086597307</v>
      </c>
      <c r="I131" s="680">
        <f t="shared" si="24"/>
        <v>0</v>
      </c>
      <c r="J131" s="670">
        <v>0</v>
      </c>
      <c r="K131" s="669">
        <f>J131/J55*100</f>
        <v>0</v>
      </c>
      <c r="L131" s="670">
        <f t="shared" si="23"/>
        <v>7000000</v>
      </c>
      <c r="M131" s="717">
        <f t="shared" si="25"/>
        <v>0</v>
      </c>
    </row>
    <row r="132" spans="1:13" s="335" customFormat="1" ht="19.5" customHeight="1">
      <c r="A132" s="726" t="s">
        <v>288</v>
      </c>
      <c r="B132" s="697" t="s">
        <v>289</v>
      </c>
      <c r="C132" s="670">
        <v>0</v>
      </c>
      <c r="D132" s="669">
        <f>C132/C55*100</f>
        <v>0</v>
      </c>
      <c r="E132" s="724">
        <v>5000000</v>
      </c>
      <c r="F132" s="669">
        <f>E132/E55*100</f>
        <v>0.32082130253448832</v>
      </c>
      <c r="G132" s="670">
        <v>10000000</v>
      </c>
      <c r="H132" s="669">
        <f>G132/G55*100</f>
        <v>0.43143337266567583</v>
      </c>
      <c r="I132" s="680">
        <f t="shared" si="24"/>
        <v>5000000</v>
      </c>
      <c r="J132" s="670">
        <v>7294687</v>
      </c>
      <c r="K132" s="669">
        <f>J132/J55*100</f>
        <v>0.35240524732256606</v>
      </c>
      <c r="L132" s="670">
        <f t="shared" si="23"/>
        <v>2705313</v>
      </c>
      <c r="M132" s="717">
        <f t="shared" si="25"/>
        <v>72.94686999999999</v>
      </c>
    </row>
    <row r="133" spans="1:13" s="335" customFormat="1" ht="19.5" customHeight="1">
      <c r="A133" s="726" t="s">
        <v>743</v>
      </c>
      <c r="B133" s="697" t="s">
        <v>744</v>
      </c>
      <c r="C133" s="670">
        <v>0</v>
      </c>
      <c r="D133" s="669">
        <f>C133/C55*100</f>
        <v>0</v>
      </c>
      <c r="E133" s="724">
        <v>0</v>
      </c>
      <c r="F133" s="669">
        <f>E133/E55*100</f>
        <v>0</v>
      </c>
      <c r="G133" s="670">
        <v>0</v>
      </c>
      <c r="H133" s="669">
        <f>G133/G55*100</f>
        <v>0</v>
      </c>
      <c r="I133" s="680">
        <f t="shared" si="24"/>
        <v>0</v>
      </c>
      <c r="J133" s="670">
        <v>0</v>
      </c>
      <c r="K133" s="669">
        <f>J133/J55*100</f>
        <v>0</v>
      </c>
      <c r="L133" s="670">
        <f t="shared" si="23"/>
        <v>0</v>
      </c>
      <c r="M133" s="717" t="e">
        <f t="shared" si="25"/>
        <v>#DIV/0!</v>
      </c>
    </row>
    <row r="134" spans="1:13" ht="22.5" customHeight="1">
      <c r="A134" s="709"/>
      <c r="B134" s="721" t="s">
        <v>122</v>
      </c>
      <c r="C134" s="670">
        <f>SUM(C56:C133)</f>
        <v>1277600428.4000001</v>
      </c>
      <c r="D134" s="680">
        <f>C134/C143*100</f>
        <v>18.926127660163854</v>
      </c>
      <c r="E134" s="727">
        <f>SUM(E57:E133)</f>
        <v>1558500000</v>
      </c>
      <c r="F134" s="680">
        <f>E134/E143*100</f>
        <v>18.746761266941853</v>
      </c>
      <c r="G134" s="727">
        <f>SUM(G57:G133)</f>
        <v>2317855000</v>
      </c>
      <c r="H134" s="680">
        <f>G134/G143*100</f>
        <v>23.229128812389071</v>
      </c>
      <c r="I134" s="727">
        <f t="shared" ref="I134:L134" si="26">SUM(I57:I133)</f>
        <v>759355000</v>
      </c>
      <c r="J134" s="727">
        <f>SUM(J57:J133)</f>
        <v>2069971164</v>
      </c>
      <c r="K134" s="680">
        <f>J134/J143*100</f>
        <v>21.496079656689169</v>
      </c>
      <c r="L134" s="728">
        <f t="shared" si="26"/>
        <v>247883836</v>
      </c>
      <c r="M134" s="722">
        <f t="shared" si="25"/>
        <v>89.305464060521473</v>
      </c>
    </row>
    <row r="135" spans="1:13">
      <c r="A135" s="709" t="s">
        <v>131</v>
      </c>
      <c r="B135" s="723" t="s">
        <v>132</v>
      </c>
      <c r="C135" s="711"/>
      <c r="D135" s="670"/>
      <c r="E135" s="670"/>
      <c r="F135" s="670"/>
      <c r="G135" s="670"/>
      <c r="H135" s="670"/>
      <c r="I135" s="670"/>
      <c r="J135" s="670"/>
      <c r="K135" s="670"/>
      <c r="L135" s="711"/>
      <c r="M135" s="712" t="e">
        <f t="shared" si="25"/>
        <v>#DIV/0!</v>
      </c>
    </row>
    <row r="136" spans="1:13" ht="18.75" customHeight="1">
      <c r="A136" s="709"/>
      <c r="B136" s="721" t="s">
        <v>123</v>
      </c>
      <c r="C136" s="715">
        <v>0</v>
      </c>
      <c r="D136" s="680">
        <v>0</v>
      </c>
      <c r="E136" s="680">
        <v>0</v>
      </c>
      <c r="F136" s="680">
        <v>0</v>
      </c>
      <c r="G136" s="680">
        <v>0</v>
      </c>
      <c r="H136" s="680">
        <v>0</v>
      </c>
      <c r="I136" s="680">
        <v>0</v>
      </c>
      <c r="J136" s="680">
        <v>0</v>
      </c>
      <c r="K136" s="680">
        <v>0</v>
      </c>
      <c r="L136" s="715">
        <v>0</v>
      </c>
      <c r="M136" s="712" t="e">
        <f t="shared" si="25"/>
        <v>#DIV/0!</v>
      </c>
    </row>
    <row r="137" spans="1:13" ht="18.75" customHeight="1">
      <c r="A137" s="709"/>
      <c r="B137" s="721" t="s">
        <v>135</v>
      </c>
      <c r="C137" s="715">
        <v>13467399</v>
      </c>
      <c r="D137" s="680">
        <v>100</v>
      </c>
      <c r="E137" s="680">
        <f>E141+E142</f>
        <v>16299570</v>
      </c>
      <c r="F137" s="680">
        <v>100</v>
      </c>
      <c r="G137" s="680">
        <f>G141+G142</f>
        <v>16299570</v>
      </c>
      <c r="H137" s="680">
        <v>100</v>
      </c>
      <c r="I137" s="680"/>
      <c r="J137" s="680">
        <v>0</v>
      </c>
      <c r="K137" s="680">
        <v>100</v>
      </c>
      <c r="L137" s="715"/>
      <c r="M137" s="712">
        <f t="shared" si="25"/>
        <v>0</v>
      </c>
    </row>
    <row r="138" spans="1:13" ht="18.75" customHeight="1">
      <c r="A138" s="709" t="s">
        <v>131</v>
      </c>
      <c r="B138" s="723" t="s">
        <v>132</v>
      </c>
      <c r="C138" s="711"/>
      <c r="D138" s="670"/>
      <c r="E138" s="670"/>
      <c r="F138" s="670"/>
      <c r="G138" s="670"/>
      <c r="H138" s="670"/>
      <c r="I138" s="670"/>
      <c r="J138" s="670"/>
      <c r="K138" s="670"/>
      <c r="L138" s="711"/>
      <c r="M138" s="712" t="e">
        <f t="shared" si="25"/>
        <v>#DIV/0!</v>
      </c>
    </row>
    <row r="139" spans="1:13" ht="18.75" customHeight="1">
      <c r="A139" s="709"/>
      <c r="B139" s="721" t="s">
        <v>137</v>
      </c>
      <c r="C139" s="715">
        <v>13467399</v>
      </c>
      <c r="D139" s="680">
        <v>100</v>
      </c>
      <c r="E139" s="680">
        <f>E141+E142</f>
        <v>16299570</v>
      </c>
      <c r="F139" s="680">
        <v>100</v>
      </c>
      <c r="G139" s="680">
        <f>G141+G142</f>
        <v>16299570</v>
      </c>
      <c r="H139" s="680">
        <v>100</v>
      </c>
      <c r="I139" s="680">
        <f t="shared" ref="I139:L139" si="27">I141+I142</f>
        <v>0</v>
      </c>
      <c r="J139" s="680">
        <f t="shared" si="27"/>
        <v>0</v>
      </c>
      <c r="K139" s="680">
        <v>100</v>
      </c>
      <c r="L139" s="715">
        <f t="shared" si="27"/>
        <v>10098676</v>
      </c>
      <c r="M139" s="712">
        <f t="shared" si="25"/>
        <v>0</v>
      </c>
    </row>
    <row r="140" spans="1:13" ht="18.75" customHeight="1">
      <c r="A140" s="709" t="s">
        <v>131</v>
      </c>
      <c r="B140" s="723" t="s">
        <v>132</v>
      </c>
      <c r="C140" s="711"/>
      <c r="D140" s="670"/>
      <c r="E140" s="670"/>
      <c r="F140" s="670"/>
      <c r="G140" s="670"/>
      <c r="H140" s="670"/>
      <c r="I140" s="670"/>
      <c r="J140" s="670"/>
      <c r="K140" s="670"/>
      <c r="L140" s="711"/>
      <c r="M140" s="712" t="e">
        <f t="shared" si="25"/>
        <v>#DIV/0!</v>
      </c>
    </row>
    <row r="141" spans="1:13" ht="18.75" customHeight="1">
      <c r="A141" s="709" t="s">
        <v>363</v>
      </c>
      <c r="B141" s="723" t="s">
        <v>745</v>
      </c>
      <c r="C141" s="711">
        <v>13188999</v>
      </c>
      <c r="D141" s="670">
        <v>97.9</v>
      </c>
      <c r="E141" s="670">
        <v>6200894</v>
      </c>
      <c r="F141" s="670">
        <v>97.9</v>
      </c>
      <c r="G141" s="670">
        <v>6200894</v>
      </c>
      <c r="H141" s="670">
        <v>97.9</v>
      </c>
      <c r="I141" s="670"/>
      <c r="J141" s="670">
        <v>0</v>
      </c>
      <c r="K141" s="670">
        <v>97.9</v>
      </c>
      <c r="L141" s="711"/>
      <c r="M141" s="712">
        <f t="shared" si="25"/>
        <v>0</v>
      </c>
    </row>
    <row r="142" spans="1:13" ht="18.75" customHeight="1">
      <c r="A142" s="709" t="s">
        <v>389</v>
      </c>
      <c r="B142" s="723" t="s">
        <v>390</v>
      </c>
      <c r="C142" s="711">
        <v>278400</v>
      </c>
      <c r="D142" s="670">
        <v>2.1</v>
      </c>
      <c r="E142" s="670">
        <v>10098676</v>
      </c>
      <c r="F142" s="670">
        <v>2.1</v>
      </c>
      <c r="G142" s="670">
        <v>10098676</v>
      </c>
      <c r="H142" s="670">
        <v>2.1</v>
      </c>
      <c r="I142" s="670">
        <f t="shared" ref="I142" si="28">G142-E142</f>
        <v>0</v>
      </c>
      <c r="J142" s="670">
        <v>0</v>
      </c>
      <c r="K142" s="670">
        <v>2.1</v>
      </c>
      <c r="L142" s="711">
        <f t="shared" ref="L142" si="29">G142-J142</f>
        <v>10098676</v>
      </c>
      <c r="M142" s="712">
        <f t="shared" si="25"/>
        <v>0</v>
      </c>
    </row>
    <row r="143" spans="1:13" ht="18.75" customHeight="1">
      <c r="A143" s="709"/>
      <c r="B143" s="721" t="s">
        <v>128</v>
      </c>
      <c r="C143" s="715">
        <f t="shared" ref="C143:L143" si="30">C26+C29</f>
        <v>6750458685.1599998</v>
      </c>
      <c r="D143" s="680">
        <f t="shared" si="30"/>
        <v>100</v>
      </c>
      <c r="E143" s="680">
        <f t="shared" si="30"/>
        <v>8313436000</v>
      </c>
      <c r="F143" s="680">
        <f t="shared" ref="F143:H143" si="31">F26+F29</f>
        <v>100</v>
      </c>
      <c r="G143" s="680">
        <f t="shared" si="30"/>
        <v>9978226126</v>
      </c>
      <c r="H143" s="680">
        <f t="shared" si="31"/>
        <v>100</v>
      </c>
      <c r="I143" s="680">
        <f t="shared" si="30"/>
        <v>1664790126</v>
      </c>
      <c r="J143" s="680">
        <f t="shared" si="30"/>
        <v>9629528719</v>
      </c>
      <c r="K143" s="680">
        <f t="shared" si="30"/>
        <v>100</v>
      </c>
      <c r="L143" s="715">
        <f t="shared" si="30"/>
        <v>348697407</v>
      </c>
      <c r="M143" s="712">
        <f>J143/G143*100</f>
        <v>96.50541686872171</v>
      </c>
    </row>
    <row r="144" spans="1:13" s="53" customFormat="1">
      <c r="C144" s="488"/>
    </row>
    <row r="145" s="53" customFormat="1"/>
    <row r="146" s="53" customFormat="1"/>
    <row r="147" s="53" customFormat="1"/>
  </sheetData>
  <mergeCells count="22">
    <mergeCell ref="A2:M2"/>
    <mergeCell ref="A3:M3"/>
    <mergeCell ref="A4:M4"/>
    <mergeCell ref="A10:A11"/>
    <mergeCell ref="B10:D11"/>
    <mergeCell ref="E10:F11"/>
    <mergeCell ref="G10:M11"/>
    <mergeCell ref="B7:N7"/>
    <mergeCell ref="B8:N8"/>
    <mergeCell ref="B9:L9"/>
    <mergeCell ref="A17:B17"/>
    <mergeCell ref="A38:B38"/>
    <mergeCell ref="B12:D12"/>
    <mergeCell ref="E12:F12"/>
    <mergeCell ref="G12:M12"/>
    <mergeCell ref="A13:B16"/>
    <mergeCell ref="C13:M13"/>
    <mergeCell ref="E14:F14"/>
    <mergeCell ref="G14:H14"/>
    <mergeCell ref="J14:K14"/>
    <mergeCell ref="L14:L15"/>
    <mergeCell ref="M14:M15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Q55"/>
  <sheetViews>
    <sheetView workbookViewId="0">
      <selection activeCell="H18" sqref="H18"/>
    </sheetView>
  </sheetViews>
  <sheetFormatPr defaultRowHeight="15"/>
  <cols>
    <col min="1" max="1" width="3.28515625" style="53" customWidth="1"/>
    <col min="2" max="2" width="11.85546875" style="53" customWidth="1"/>
    <col min="3" max="3" width="26.7109375" style="53" customWidth="1"/>
    <col min="4" max="4" width="16.28515625" style="53" customWidth="1"/>
    <col min="5" max="5" width="8.7109375" style="53" customWidth="1"/>
    <col min="6" max="6" width="12.85546875" style="53" customWidth="1"/>
    <col min="7" max="7" width="6.85546875" style="53" hidden="1" customWidth="1"/>
    <col min="8" max="8" width="14.140625" style="53" customWidth="1"/>
    <col min="9" max="9" width="6.42578125" style="53" customWidth="1"/>
    <col min="10" max="10" width="11.42578125" style="53" customWidth="1"/>
    <col min="11" max="11" width="16.28515625" style="53" customWidth="1"/>
    <col min="12" max="12" width="8.140625" style="53" customWidth="1"/>
    <col min="13" max="13" width="15" style="53" customWidth="1"/>
    <col min="14" max="14" width="8.5703125" style="53" customWidth="1"/>
    <col min="15" max="15" width="9.140625" style="53"/>
    <col min="16" max="16" width="12.7109375" style="53" bestFit="1" customWidth="1"/>
    <col min="17" max="256" width="9.140625" style="53"/>
    <col min="257" max="257" width="3.28515625" style="53" customWidth="1"/>
    <col min="258" max="258" width="11.85546875" style="53" customWidth="1"/>
    <col min="259" max="259" width="26.7109375" style="53" customWidth="1"/>
    <col min="260" max="260" width="16.28515625" style="53" customWidth="1"/>
    <col min="261" max="261" width="8.7109375" style="53" customWidth="1"/>
    <col min="262" max="262" width="12.85546875" style="53" customWidth="1"/>
    <col min="263" max="263" width="6.85546875" style="53" customWidth="1"/>
    <col min="264" max="264" width="14.140625" style="53" customWidth="1"/>
    <col min="265" max="265" width="6.42578125" style="53" customWidth="1"/>
    <col min="266" max="266" width="11.42578125" style="53" customWidth="1"/>
    <col min="267" max="267" width="16.28515625" style="53" customWidth="1"/>
    <col min="268" max="268" width="8.140625" style="53" customWidth="1"/>
    <col min="269" max="269" width="15" style="53" customWidth="1"/>
    <col min="270" max="270" width="8.5703125" style="53" customWidth="1"/>
    <col min="271" max="271" width="9.140625" style="53"/>
    <col min="272" max="272" width="10" style="53" bestFit="1" customWidth="1"/>
    <col min="273" max="512" width="9.140625" style="53"/>
    <col min="513" max="513" width="3.28515625" style="53" customWidth="1"/>
    <col min="514" max="514" width="11.85546875" style="53" customWidth="1"/>
    <col min="515" max="515" width="26.7109375" style="53" customWidth="1"/>
    <col min="516" max="516" width="16.28515625" style="53" customWidth="1"/>
    <col min="517" max="517" width="8.7109375" style="53" customWidth="1"/>
    <col min="518" max="518" width="12.85546875" style="53" customWidth="1"/>
    <col min="519" max="519" width="6.85546875" style="53" customWidth="1"/>
    <col min="520" max="520" width="14.140625" style="53" customWidth="1"/>
    <col min="521" max="521" width="6.42578125" style="53" customWidth="1"/>
    <col min="522" max="522" width="11.42578125" style="53" customWidth="1"/>
    <col min="523" max="523" width="16.28515625" style="53" customWidth="1"/>
    <col min="524" max="524" width="8.140625" style="53" customWidth="1"/>
    <col min="525" max="525" width="15" style="53" customWidth="1"/>
    <col min="526" max="526" width="8.5703125" style="53" customWidth="1"/>
    <col min="527" max="527" width="9.140625" style="53"/>
    <col min="528" max="528" width="10" style="53" bestFit="1" customWidth="1"/>
    <col min="529" max="768" width="9.140625" style="53"/>
    <col min="769" max="769" width="3.28515625" style="53" customWidth="1"/>
    <col min="770" max="770" width="11.85546875" style="53" customWidth="1"/>
    <col min="771" max="771" width="26.7109375" style="53" customWidth="1"/>
    <col min="772" max="772" width="16.28515625" style="53" customWidth="1"/>
    <col min="773" max="773" width="8.7109375" style="53" customWidth="1"/>
    <col min="774" max="774" width="12.85546875" style="53" customWidth="1"/>
    <col min="775" max="775" width="6.85546875" style="53" customWidth="1"/>
    <col min="776" max="776" width="14.140625" style="53" customWidth="1"/>
    <col min="777" max="777" width="6.42578125" style="53" customWidth="1"/>
    <col min="778" max="778" width="11.42578125" style="53" customWidth="1"/>
    <col min="779" max="779" width="16.28515625" style="53" customWidth="1"/>
    <col min="780" max="780" width="8.140625" style="53" customWidth="1"/>
    <col min="781" max="781" width="15" style="53" customWidth="1"/>
    <col min="782" max="782" width="8.5703125" style="53" customWidth="1"/>
    <col min="783" max="783" width="9.140625" style="53"/>
    <col min="784" max="784" width="10" style="53" bestFit="1" customWidth="1"/>
    <col min="785" max="1024" width="9.140625" style="53"/>
    <col min="1025" max="1025" width="3.28515625" style="53" customWidth="1"/>
    <col min="1026" max="1026" width="11.85546875" style="53" customWidth="1"/>
    <col min="1027" max="1027" width="26.7109375" style="53" customWidth="1"/>
    <col min="1028" max="1028" width="16.28515625" style="53" customWidth="1"/>
    <col min="1029" max="1029" width="8.7109375" style="53" customWidth="1"/>
    <col min="1030" max="1030" width="12.85546875" style="53" customWidth="1"/>
    <col min="1031" max="1031" width="6.85546875" style="53" customWidth="1"/>
    <col min="1032" max="1032" width="14.140625" style="53" customWidth="1"/>
    <col min="1033" max="1033" width="6.42578125" style="53" customWidth="1"/>
    <col min="1034" max="1034" width="11.42578125" style="53" customWidth="1"/>
    <col min="1035" max="1035" width="16.28515625" style="53" customWidth="1"/>
    <col min="1036" max="1036" width="8.140625" style="53" customWidth="1"/>
    <col min="1037" max="1037" width="15" style="53" customWidth="1"/>
    <col min="1038" max="1038" width="8.5703125" style="53" customWidth="1"/>
    <col min="1039" max="1039" width="9.140625" style="53"/>
    <col min="1040" max="1040" width="10" style="53" bestFit="1" customWidth="1"/>
    <col min="1041" max="1280" width="9.140625" style="53"/>
    <col min="1281" max="1281" width="3.28515625" style="53" customWidth="1"/>
    <col min="1282" max="1282" width="11.85546875" style="53" customWidth="1"/>
    <col min="1283" max="1283" width="26.7109375" style="53" customWidth="1"/>
    <col min="1284" max="1284" width="16.28515625" style="53" customWidth="1"/>
    <col min="1285" max="1285" width="8.7109375" style="53" customWidth="1"/>
    <col min="1286" max="1286" width="12.85546875" style="53" customWidth="1"/>
    <col min="1287" max="1287" width="6.85546875" style="53" customWidth="1"/>
    <col min="1288" max="1288" width="14.140625" style="53" customWidth="1"/>
    <col min="1289" max="1289" width="6.42578125" style="53" customWidth="1"/>
    <col min="1290" max="1290" width="11.42578125" style="53" customWidth="1"/>
    <col min="1291" max="1291" width="16.28515625" style="53" customWidth="1"/>
    <col min="1292" max="1292" width="8.140625" style="53" customWidth="1"/>
    <col min="1293" max="1293" width="15" style="53" customWidth="1"/>
    <col min="1294" max="1294" width="8.5703125" style="53" customWidth="1"/>
    <col min="1295" max="1295" width="9.140625" style="53"/>
    <col min="1296" max="1296" width="10" style="53" bestFit="1" customWidth="1"/>
    <col min="1297" max="1536" width="9.140625" style="53"/>
    <col min="1537" max="1537" width="3.28515625" style="53" customWidth="1"/>
    <col min="1538" max="1538" width="11.85546875" style="53" customWidth="1"/>
    <col min="1539" max="1539" width="26.7109375" style="53" customWidth="1"/>
    <col min="1540" max="1540" width="16.28515625" style="53" customWidth="1"/>
    <col min="1541" max="1541" width="8.7109375" style="53" customWidth="1"/>
    <col min="1542" max="1542" width="12.85546875" style="53" customWidth="1"/>
    <col min="1543" max="1543" width="6.85546875" style="53" customWidth="1"/>
    <col min="1544" max="1544" width="14.140625" style="53" customWidth="1"/>
    <col min="1545" max="1545" width="6.42578125" style="53" customWidth="1"/>
    <col min="1546" max="1546" width="11.42578125" style="53" customWidth="1"/>
    <col min="1547" max="1547" width="16.28515625" style="53" customWidth="1"/>
    <col min="1548" max="1548" width="8.140625" style="53" customWidth="1"/>
    <col min="1549" max="1549" width="15" style="53" customWidth="1"/>
    <col min="1550" max="1550" width="8.5703125" style="53" customWidth="1"/>
    <col min="1551" max="1551" width="9.140625" style="53"/>
    <col min="1552" max="1552" width="10" style="53" bestFit="1" customWidth="1"/>
    <col min="1553" max="1792" width="9.140625" style="53"/>
    <col min="1793" max="1793" width="3.28515625" style="53" customWidth="1"/>
    <col min="1794" max="1794" width="11.85546875" style="53" customWidth="1"/>
    <col min="1795" max="1795" width="26.7109375" style="53" customWidth="1"/>
    <col min="1796" max="1796" width="16.28515625" style="53" customWidth="1"/>
    <col min="1797" max="1797" width="8.7109375" style="53" customWidth="1"/>
    <col min="1798" max="1798" width="12.85546875" style="53" customWidth="1"/>
    <col min="1799" max="1799" width="6.85546875" style="53" customWidth="1"/>
    <col min="1800" max="1800" width="14.140625" style="53" customWidth="1"/>
    <col min="1801" max="1801" width="6.42578125" style="53" customWidth="1"/>
    <col min="1802" max="1802" width="11.42578125" style="53" customWidth="1"/>
    <col min="1803" max="1803" width="16.28515625" style="53" customWidth="1"/>
    <col min="1804" max="1804" width="8.140625" style="53" customWidth="1"/>
    <col min="1805" max="1805" width="15" style="53" customWidth="1"/>
    <col min="1806" max="1806" width="8.5703125" style="53" customWidth="1"/>
    <col min="1807" max="1807" width="9.140625" style="53"/>
    <col min="1808" max="1808" width="10" style="53" bestFit="1" customWidth="1"/>
    <col min="1809" max="2048" width="9.140625" style="53"/>
    <col min="2049" max="2049" width="3.28515625" style="53" customWidth="1"/>
    <col min="2050" max="2050" width="11.85546875" style="53" customWidth="1"/>
    <col min="2051" max="2051" width="26.7109375" style="53" customWidth="1"/>
    <col min="2052" max="2052" width="16.28515625" style="53" customWidth="1"/>
    <col min="2053" max="2053" width="8.7109375" style="53" customWidth="1"/>
    <col min="2054" max="2054" width="12.85546875" style="53" customWidth="1"/>
    <col min="2055" max="2055" width="6.85546875" style="53" customWidth="1"/>
    <col min="2056" max="2056" width="14.140625" style="53" customWidth="1"/>
    <col min="2057" max="2057" width="6.42578125" style="53" customWidth="1"/>
    <col min="2058" max="2058" width="11.42578125" style="53" customWidth="1"/>
    <col min="2059" max="2059" width="16.28515625" style="53" customWidth="1"/>
    <col min="2060" max="2060" width="8.140625" style="53" customWidth="1"/>
    <col min="2061" max="2061" width="15" style="53" customWidth="1"/>
    <col min="2062" max="2062" width="8.5703125" style="53" customWidth="1"/>
    <col min="2063" max="2063" width="9.140625" style="53"/>
    <col min="2064" max="2064" width="10" style="53" bestFit="1" customWidth="1"/>
    <col min="2065" max="2304" width="9.140625" style="53"/>
    <col min="2305" max="2305" width="3.28515625" style="53" customWidth="1"/>
    <col min="2306" max="2306" width="11.85546875" style="53" customWidth="1"/>
    <col min="2307" max="2307" width="26.7109375" style="53" customWidth="1"/>
    <col min="2308" max="2308" width="16.28515625" style="53" customWidth="1"/>
    <col min="2309" max="2309" width="8.7109375" style="53" customWidth="1"/>
    <col min="2310" max="2310" width="12.85546875" style="53" customWidth="1"/>
    <col min="2311" max="2311" width="6.85546875" style="53" customWidth="1"/>
    <col min="2312" max="2312" width="14.140625" style="53" customWidth="1"/>
    <col min="2313" max="2313" width="6.42578125" style="53" customWidth="1"/>
    <col min="2314" max="2314" width="11.42578125" style="53" customWidth="1"/>
    <col min="2315" max="2315" width="16.28515625" style="53" customWidth="1"/>
    <col min="2316" max="2316" width="8.140625" style="53" customWidth="1"/>
    <col min="2317" max="2317" width="15" style="53" customWidth="1"/>
    <col min="2318" max="2318" width="8.5703125" style="53" customWidth="1"/>
    <col min="2319" max="2319" width="9.140625" style="53"/>
    <col min="2320" max="2320" width="10" style="53" bestFit="1" customWidth="1"/>
    <col min="2321" max="2560" width="9.140625" style="53"/>
    <col min="2561" max="2561" width="3.28515625" style="53" customWidth="1"/>
    <col min="2562" max="2562" width="11.85546875" style="53" customWidth="1"/>
    <col min="2563" max="2563" width="26.7109375" style="53" customWidth="1"/>
    <col min="2564" max="2564" width="16.28515625" style="53" customWidth="1"/>
    <col min="2565" max="2565" width="8.7109375" style="53" customWidth="1"/>
    <col min="2566" max="2566" width="12.85546875" style="53" customWidth="1"/>
    <col min="2567" max="2567" width="6.85546875" style="53" customWidth="1"/>
    <col min="2568" max="2568" width="14.140625" style="53" customWidth="1"/>
    <col min="2569" max="2569" width="6.42578125" style="53" customWidth="1"/>
    <col min="2570" max="2570" width="11.42578125" style="53" customWidth="1"/>
    <col min="2571" max="2571" width="16.28515625" style="53" customWidth="1"/>
    <col min="2572" max="2572" width="8.140625" style="53" customWidth="1"/>
    <col min="2573" max="2573" width="15" style="53" customWidth="1"/>
    <col min="2574" max="2574" width="8.5703125" style="53" customWidth="1"/>
    <col min="2575" max="2575" width="9.140625" style="53"/>
    <col min="2576" max="2576" width="10" style="53" bestFit="1" customWidth="1"/>
    <col min="2577" max="2816" width="9.140625" style="53"/>
    <col min="2817" max="2817" width="3.28515625" style="53" customWidth="1"/>
    <col min="2818" max="2818" width="11.85546875" style="53" customWidth="1"/>
    <col min="2819" max="2819" width="26.7109375" style="53" customWidth="1"/>
    <col min="2820" max="2820" width="16.28515625" style="53" customWidth="1"/>
    <col min="2821" max="2821" width="8.7109375" style="53" customWidth="1"/>
    <col min="2822" max="2822" width="12.85546875" style="53" customWidth="1"/>
    <col min="2823" max="2823" width="6.85546875" style="53" customWidth="1"/>
    <col min="2824" max="2824" width="14.140625" style="53" customWidth="1"/>
    <col min="2825" max="2825" width="6.42578125" style="53" customWidth="1"/>
    <col min="2826" max="2826" width="11.42578125" style="53" customWidth="1"/>
    <col min="2827" max="2827" width="16.28515625" style="53" customWidth="1"/>
    <col min="2828" max="2828" width="8.140625" style="53" customWidth="1"/>
    <col min="2829" max="2829" width="15" style="53" customWidth="1"/>
    <col min="2830" max="2830" width="8.5703125" style="53" customWidth="1"/>
    <col min="2831" max="2831" width="9.140625" style="53"/>
    <col min="2832" max="2832" width="10" style="53" bestFit="1" customWidth="1"/>
    <col min="2833" max="3072" width="9.140625" style="53"/>
    <col min="3073" max="3073" width="3.28515625" style="53" customWidth="1"/>
    <col min="3074" max="3074" width="11.85546875" style="53" customWidth="1"/>
    <col min="3075" max="3075" width="26.7109375" style="53" customWidth="1"/>
    <col min="3076" max="3076" width="16.28515625" style="53" customWidth="1"/>
    <col min="3077" max="3077" width="8.7109375" style="53" customWidth="1"/>
    <col min="3078" max="3078" width="12.85546875" style="53" customWidth="1"/>
    <col min="3079" max="3079" width="6.85546875" style="53" customWidth="1"/>
    <col min="3080" max="3080" width="14.140625" style="53" customWidth="1"/>
    <col min="3081" max="3081" width="6.42578125" style="53" customWidth="1"/>
    <col min="3082" max="3082" width="11.42578125" style="53" customWidth="1"/>
    <col min="3083" max="3083" width="16.28515625" style="53" customWidth="1"/>
    <col min="3084" max="3084" width="8.140625" style="53" customWidth="1"/>
    <col min="3085" max="3085" width="15" style="53" customWidth="1"/>
    <col min="3086" max="3086" width="8.5703125" style="53" customWidth="1"/>
    <col min="3087" max="3087" width="9.140625" style="53"/>
    <col min="3088" max="3088" width="10" style="53" bestFit="1" customWidth="1"/>
    <col min="3089" max="3328" width="9.140625" style="53"/>
    <col min="3329" max="3329" width="3.28515625" style="53" customWidth="1"/>
    <col min="3330" max="3330" width="11.85546875" style="53" customWidth="1"/>
    <col min="3331" max="3331" width="26.7109375" style="53" customWidth="1"/>
    <col min="3332" max="3332" width="16.28515625" style="53" customWidth="1"/>
    <col min="3333" max="3333" width="8.7109375" style="53" customWidth="1"/>
    <col min="3334" max="3334" width="12.85546875" style="53" customWidth="1"/>
    <col min="3335" max="3335" width="6.85546875" style="53" customWidth="1"/>
    <col min="3336" max="3336" width="14.140625" style="53" customWidth="1"/>
    <col min="3337" max="3337" width="6.42578125" style="53" customWidth="1"/>
    <col min="3338" max="3338" width="11.42578125" style="53" customWidth="1"/>
    <col min="3339" max="3339" width="16.28515625" style="53" customWidth="1"/>
    <col min="3340" max="3340" width="8.140625" style="53" customWidth="1"/>
    <col min="3341" max="3341" width="15" style="53" customWidth="1"/>
    <col min="3342" max="3342" width="8.5703125" style="53" customWidth="1"/>
    <col min="3343" max="3343" width="9.140625" style="53"/>
    <col min="3344" max="3344" width="10" style="53" bestFit="1" customWidth="1"/>
    <col min="3345" max="3584" width="9.140625" style="53"/>
    <col min="3585" max="3585" width="3.28515625" style="53" customWidth="1"/>
    <col min="3586" max="3586" width="11.85546875" style="53" customWidth="1"/>
    <col min="3587" max="3587" width="26.7109375" style="53" customWidth="1"/>
    <col min="3588" max="3588" width="16.28515625" style="53" customWidth="1"/>
    <col min="3589" max="3589" width="8.7109375" style="53" customWidth="1"/>
    <col min="3590" max="3590" width="12.85546875" style="53" customWidth="1"/>
    <col min="3591" max="3591" width="6.85546875" style="53" customWidth="1"/>
    <col min="3592" max="3592" width="14.140625" style="53" customWidth="1"/>
    <col min="3593" max="3593" width="6.42578125" style="53" customWidth="1"/>
    <col min="3594" max="3594" width="11.42578125" style="53" customWidth="1"/>
    <col min="3595" max="3595" width="16.28515625" style="53" customWidth="1"/>
    <col min="3596" max="3596" width="8.140625" style="53" customWidth="1"/>
    <col min="3597" max="3597" width="15" style="53" customWidth="1"/>
    <col min="3598" max="3598" width="8.5703125" style="53" customWidth="1"/>
    <col min="3599" max="3599" width="9.140625" style="53"/>
    <col min="3600" max="3600" width="10" style="53" bestFit="1" customWidth="1"/>
    <col min="3601" max="3840" width="9.140625" style="53"/>
    <col min="3841" max="3841" width="3.28515625" style="53" customWidth="1"/>
    <col min="3842" max="3842" width="11.85546875" style="53" customWidth="1"/>
    <col min="3843" max="3843" width="26.7109375" style="53" customWidth="1"/>
    <col min="3844" max="3844" width="16.28515625" style="53" customWidth="1"/>
    <col min="3845" max="3845" width="8.7109375" style="53" customWidth="1"/>
    <col min="3846" max="3846" width="12.85546875" style="53" customWidth="1"/>
    <col min="3847" max="3847" width="6.85546875" style="53" customWidth="1"/>
    <col min="3848" max="3848" width="14.140625" style="53" customWidth="1"/>
    <col min="3849" max="3849" width="6.42578125" style="53" customWidth="1"/>
    <col min="3850" max="3850" width="11.42578125" style="53" customWidth="1"/>
    <col min="3851" max="3851" width="16.28515625" style="53" customWidth="1"/>
    <col min="3852" max="3852" width="8.140625" style="53" customWidth="1"/>
    <col min="3853" max="3853" width="15" style="53" customWidth="1"/>
    <col min="3854" max="3854" width="8.5703125" style="53" customWidth="1"/>
    <col min="3855" max="3855" width="9.140625" style="53"/>
    <col min="3856" max="3856" width="10" style="53" bestFit="1" customWidth="1"/>
    <col min="3857" max="4096" width="9.140625" style="53"/>
    <col min="4097" max="4097" width="3.28515625" style="53" customWidth="1"/>
    <col min="4098" max="4098" width="11.85546875" style="53" customWidth="1"/>
    <col min="4099" max="4099" width="26.7109375" style="53" customWidth="1"/>
    <col min="4100" max="4100" width="16.28515625" style="53" customWidth="1"/>
    <col min="4101" max="4101" width="8.7109375" style="53" customWidth="1"/>
    <col min="4102" max="4102" width="12.85546875" style="53" customWidth="1"/>
    <col min="4103" max="4103" width="6.85546875" style="53" customWidth="1"/>
    <col min="4104" max="4104" width="14.140625" style="53" customWidth="1"/>
    <col min="4105" max="4105" width="6.42578125" style="53" customWidth="1"/>
    <col min="4106" max="4106" width="11.42578125" style="53" customWidth="1"/>
    <col min="4107" max="4107" width="16.28515625" style="53" customWidth="1"/>
    <col min="4108" max="4108" width="8.140625" style="53" customWidth="1"/>
    <col min="4109" max="4109" width="15" style="53" customWidth="1"/>
    <col min="4110" max="4110" width="8.5703125" style="53" customWidth="1"/>
    <col min="4111" max="4111" width="9.140625" style="53"/>
    <col min="4112" max="4112" width="10" style="53" bestFit="1" customWidth="1"/>
    <col min="4113" max="4352" width="9.140625" style="53"/>
    <col min="4353" max="4353" width="3.28515625" style="53" customWidth="1"/>
    <col min="4354" max="4354" width="11.85546875" style="53" customWidth="1"/>
    <col min="4355" max="4355" width="26.7109375" style="53" customWidth="1"/>
    <col min="4356" max="4356" width="16.28515625" style="53" customWidth="1"/>
    <col min="4357" max="4357" width="8.7109375" style="53" customWidth="1"/>
    <col min="4358" max="4358" width="12.85546875" style="53" customWidth="1"/>
    <col min="4359" max="4359" width="6.85546875" style="53" customWidth="1"/>
    <col min="4360" max="4360" width="14.140625" style="53" customWidth="1"/>
    <col min="4361" max="4361" width="6.42578125" style="53" customWidth="1"/>
    <col min="4362" max="4362" width="11.42578125" style="53" customWidth="1"/>
    <col min="4363" max="4363" width="16.28515625" style="53" customWidth="1"/>
    <col min="4364" max="4364" width="8.140625" style="53" customWidth="1"/>
    <col min="4365" max="4365" width="15" style="53" customWidth="1"/>
    <col min="4366" max="4366" width="8.5703125" style="53" customWidth="1"/>
    <col min="4367" max="4367" width="9.140625" style="53"/>
    <col min="4368" max="4368" width="10" style="53" bestFit="1" customWidth="1"/>
    <col min="4369" max="4608" width="9.140625" style="53"/>
    <col min="4609" max="4609" width="3.28515625" style="53" customWidth="1"/>
    <col min="4610" max="4610" width="11.85546875" style="53" customWidth="1"/>
    <col min="4611" max="4611" width="26.7109375" style="53" customWidth="1"/>
    <col min="4612" max="4612" width="16.28515625" style="53" customWidth="1"/>
    <col min="4613" max="4613" width="8.7109375" style="53" customWidth="1"/>
    <col min="4614" max="4614" width="12.85546875" style="53" customWidth="1"/>
    <col min="4615" max="4615" width="6.85546875" style="53" customWidth="1"/>
    <col min="4616" max="4616" width="14.140625" style="53" customWidth="1"/>
    <col min="4617" max="4617" width="6.42578125" style="53" customWidth="1"/>
    <col min="4618" max="4618" width="11.42578125" style="53" customWidth="1"/>
    <col min="4619" max="4619" width="16.28515625" style="53" customWidth="1"/>
    <col min="4620" max="4620" width="8.140625" style="53" customWidth="1"/>
    <col min="4621" max="4621" width="15" style="53" customWidth="1"/>
    <col min="4622" max="4622" width="8.5703125" style="53" customWidth="1"/>
    <col min="4623" max="4623" width="9.140625" style="53"/>
    <col min="4624" max="4624" width="10" style="53" bestFit="1" customWidth="1"/>
    <col min="4625" max="4864" width="9.140625" style="53"/>
    <col min="4865" max="4865" width="3.28515625" style="53" customWidth="1"/>
    <col min="4866" max="4866" width="11.85546875" style="53" customWidth="1"/>
    <col min="4867" max="4867" width="26.7109375" style="53" customWidth="1"/>
    <col min="4868" max="4868" width="16.28515625" style="53" customWidth="1"/>
    <col min="4869" max="4869" width="8.7109375" style="53" customWidth="1"/>
    <col min="4870" max="4870" width="12.85546875" style="53" customWidth="1"/>
    <col min="4871" max="4871" width="6.85546875" style="53" customWidth="1"/>
    <col min="4872" max="4872" width="14.140625" style="53" customWidth="1"/>
    <col min="4873" max="4873" width="6.42578125" style="53" customWidth="1"/>
    <col min="4874" max="4874" width="11.42578125" style="53" customWidth="1"/>
    <col min="4875" max="4875" width="16.28515625" style="53" customWidth="1"/>
    <col min="4876" max="4876" width="8.140625" style="53" customWidth="1"/>
    <col min="4877" max="4877" width="15" style="53" customWidth="1"/>
    <col min="4878" max="4878" width="8.5703125" style="53" customWidth="1"/>
    <col min="4879" max="4879" width="9.140625" style="53"/>
    <col min="4880" max="4880" width="10" style="53" bestFit="1" customWidth="1"/>
    <col min="4881" max="5120" width="9.140625" style="53"/>
    <col min="5121" max="5121" width="3.28515625" style="53" customWidth="1"/>
    <col min="5122" max="5122" width="11.85546875" style="53" customWidth="1"/>
    <col min="5123" max="5123" width="26.7109375" style="53" customWidth="1"/>
    <col min="5124" max="5124" width="16.28515625" style="53" customWidth="1"/>
    <col min="5125" max="5125" width="8.7109375" style="53" customWidth="1"/>
    <col min="5126" max="5126" width="12.85546875" style="53" customWidth="1"/>
    <col min="5127" max="5127" width="6.85546875" style="53" customWidth="1"/>
    <col min="5128" max="5128" width="14.140625" style="53" customWidth="1"/>
    <col min="5129" max="5129" width="6.42578125" style="53" customWidth="1"/>
    <col min="5130" max="5130" width="11.42578125" style="53" customWidth="1"/>
    <col min="5131" max="5131" width="16.28515625" style="53" customWidth="1"/>
    <col min="5132" max="5132" width="8.140625" style="53" customWidth="1"/>
    <col min="5133" max="5133" width="15" style="53" customWidth="1"/>
    <col min="5134" max="5134" width="8.5703125" style="53" customWidth="1"/>
    <col min="5135" max="5135" width="9.140625" style="53"/>
    <col min="5136" max="5136" width="10" style="53" bestFit="1" customWidth="1"/>
    <col min="5137" max="5376" width="9.140625" style="53"/>
    <col min="5377" max="5377" width="3.28515625" style="53" customWidth="1"/>
    <col min="5378" max="5378" width="11.85546875" style="53" customWidth="1"/>
    <col min="5379" max="5379" width="26.7109375" style="53" customWidth="1"/>
    <col min="5380" max="5380" width="16.28515625" style="53" customWidth="1"/>
    <col min="5381" max="5381" width="8.7109375" style="53" customWidth="1"/>
    <col min="5382" max="5382" width="12.85546875" style="53" customWidth="1"/>
    <col min="5383" max="5383" width="6.85546875" style="53" customWidth="1"/>
    <col min="5384" max="5384" width="14.140625" style="53" customWidth="1"/>
    <col min="5385" max="5385" width="6.42578125" style="53" customWidth="1"/>
    <col min="5386" max="5386" width="11.42578125" style="53" customWidth="1"/>
    <col min="5387" max="5387" width="16.28515625" style="53" customWidth="1"/>
    <col min="5388" max="5388" width="8.140625" style="53" customWidth="1"/>
    <col min="5389" max="5389" width="15" style="53" customWidth="1"/>
    <col min="5390" max="5390" width="8.5703125" style="53" customWidth="1"/>
    <col min="5391" max="5391" width="9.140625" style="53"/>
    <col min="5392" max="5392" width="10" style="53" bestFit="1" customWidth="1"/>
    <col min="5393" max="5632" width="9.140625" style="53"/>
    <col min="5633" max="5633" width="3.28515625" style="53" customWidth="1"/>
    <col min="5634" max="5634" width="11.85546875" style="53" customWidth="1"/>
    <col min="5635" max="5635" width="26.7109375" style="53" customWidth="1"/>
    <col min="5636" max="5636" width="16.28515625" style="53" customWidth="1"/>
    <col min="5637" max="5637" width="8.7109375" style="53" customWidth="1"/>
    <col min="5638" max="5638" width="12.85546875" style="53" customWidth="1"/>
    <col min="5639" max="5639" width="6.85546875" style="53" customWidth="1"/>
    <col min="5640" max="5640" width="14.140625" style="53" customWidth="1"/>
    <col min="5641" max="5641" width="6.42578125" style="53" customWidth="1"/>
    <col min="5642" max="5642" width="11.42578125" style="53" customWidth="1"/>
    <col min="5643" max="5643" width="16.28515625" style="53" customWidth="1"/>
    <col min="5644" max="5644" width="8.140625" style="53" customWidth="1"/>
    <col min="5645" max="5645" width="15" style="53" customWidth="1"/>
    <col min="5646" max="5646" width="8.5703125" style="53" customWidth="1"/>
    <col min="5647" max="5647" width="9.140625" style="53"/>
    <col min="5648" max="5648" width="10" style="53" bestFit="1" customWidth="1"/>
    <col min="5649" max="5888" width="9.140625" style="53"/>
    <col min="5889" max="5889" width="3.28515625" style="53" customWidth="1"/>
    <col min="5890" max="5890" width="11.85546875" style="53" customWidth="1"/>
    <col min="5891" max="5891" width="26.7109375" style="53" customWidth="1"/>
    <col min="5892" max="5892" width="16.28515625" style="53" customWidth="1"/>
    <col min="5893" max="5893" width="8.7109375" style="53" customWidth="1"/>
    <col min="5894" max="5894" width="12.85546875" style="53" customWidth="1"/>
    <col min="5895" max="5895" width="6.85546875" style="53" customWidth="1"/>
    <col min="5896" max="5896" width="14.140625" style="53" customWidth="1"/>
    <col min="5897" max="5897" width="6.42578125" style="53" customWidth="1"/>
    <col min="5898" max="5898" width="11.42578125" style="53" customWidth="1"/>
    <col min="5899" max="5899" width="16.28515625" style="53" customWidth="1"/>
    <col min="5900" max="5900" width="8.140625" style="53" customWidth="1"/>
    <col min="5901" max="5901" width="15" style="53" customWidth="1"/>
    <col min="5902" max="5902" width="8.5703125" style="53" customWidth="1"/>
    <col min="5903" max="5903" width="9.140625" style="53"/>
    <col min="5904" max="5904" width="10" style="53" bestFit="1" customWidth="1"/>
    <col min="5905" max="6144" width="9.140625" style="53"/>
    <col min="6145" max="6145" width="3.28515625" style="53" customWidth="1"/>
    <col min="6146" max="6146" width="11.85546875" style="53" customWidth="1"/>
    <col min="6147" max="6147" width="26.7109375" style="53" customWidth="1"/>
    <col min="6148" max="6148" width="16.28515625" style="53" customWidth="1"/>
    <col min="6149" max="6149" width="8.7109375" style="53" customWidth="1"/>
    <col min="6150" max="6150" width="12.85546875" style="53" customWidth="1"/>
    <col min="6151" max="6151" width="6.85546875" style="53" customWidth="1"/>
    <col min="6152" max="6152" width="14.140625" style="53" customWidth="1"/>
    <col min="6153" max="6153" width="6.42578125" style="53" customWidth="1"/>
    <col min="6154" max="6154" width="11.42578125" style="53" customWidth="1"/>
    <col min="6155" max="6155" width="16.28515625" style="53" customWidth="1"/>
    <col min="6156" max="6156" width="8.140625" style="53" customWidth="1"/>
    <col min="6157" max="6157" width="15" style="53" customWidth="1"/>
    <col min="6158" max="6158" width="8.5703125" style="53" customWidth="1"/>
    <col min="6159" max="6159" width="9.140625" style="53"/>
    <col min="6160" max="6160" width="10" style="53" bestFit="1" customWidth="1"/>
    <col min="6161" max="6400" width="9.140625" style="53"/>
    <col min="6401" max="6401" width="3.28515625" style="53" customWidth="1"/>
    <col min="6402" max="6402" width="11.85546875" style="53" customWidth="1"/>
    <col min="6403" max="6403" width="26.7109375" style="53" customWidth="1"/>
    <col min="6404" max="6404" width="16.28515625" style="53" customWidth="1"/>
    <col min="6405" max="6405" width="8.7109375" style="53" customWidth="1"/>
    <col min="6406" max="6406" width="12.85546875" style="53" customWidth="1"/>
    <col min="6407" max="6407" width="6.85546875" style="53" customWidth="1"/>
    <col min="6408" max="6408" width="14.140625" style="53" customWidth="1"/>
    <col min="6409" max="6409" width="6.42578125" style="53" customWidth="1"/>
    <col min="6410" max="6410" width="11.42578125" style="53" customWidth="1"/>
    <col min="6411" max="6411" width="16.28515625" style="53" customWidth="1"/>
    <col min="6412" max="6412" width="8.140625" style="53" customWidth="1"/>
    <col min="6413" max="6413" width="15" style="53" customWidth="1"/>
    <col min="6414" max="6414" width="8.5703125" style="53" customWidth="1"/>
    <col min="6415" max="6415" width="9.140625" style="53"/>
    <col min="6416" max="6416" width="10" style="53" bestFit="1" customWidth="1"/>
    <col min="6417" max="6656" width="9.140625" style="53"/>
    <col min="6657" max="6657" width="3.28515625" style="53" customWidth="1"/>
    <col min="6658" max="6658" width="11.85546875" style="53" customWidth="1"/>
    <col min="6659" max="6659" width="26.7109375" style="53" customWidth="1"/>
    <col min="6660" max="6660" width="16.28515625" style="53" customWidth="1"/>
    <col min="6661" max="6661" width="8.7109375" style="53" customWidth="1"/>
    <col min="6662" max="6662" width="12.85546875" style="53" customWidth="1"/>
    <col min="6663" max="6663" width="6.85546875" style="53" customWidth="1"/>
    <col min="6664" max="6664" width="14.140625" style="53" customWidth="1"/>
    <col min="6665" max="6665" width="6.42578125" style="53" customWidth="1"/>
    <col min="6666" max="6666" width="11.42578125" style="53" customWidth="1"/>
    <col min="6667" max="6667" width="16.28515625" style="53" customWidth="1"/>
    <col min="6668" max="6668" width="8.140625" style="53" customWidth="1"/>
    <col min="6669" max="6669" width="15" style="53" customWidth="1"/>
    <col min="6670" max="6670" width="8.5703125" style="53" customWidth="1"/>
    <col min="6671" max="6671" width="9.140625" style="53"/>
    <col min="6672" max="6672" width="10" style="53" bestFit="1" customWidth="1"/>
    <col min="6673" max="6912" width="9.140625" style="53"/>
    <col min="6913" max="6913" width="3.28515625" style="53" customWidth="1"/>
    <col min="6914" max="6914" width="11.85546875" style="53" customWidth="1"/>
    <col min="6915" max="6915" width="26.7109375" style="53" customWidth="1"/>
    <col min="6916" max="6916" width="16.28515625" style="53" customWidth="1"/>
    <col min="6917" max="6917" width="8.7109375" style="53" customWidth="1"/>
    <col min="6918" max="6918" width="12.85546875" style="53" customWidth="1"/>
    <col min="6919" max="6919" width="6.85546875" style="53" customWidth="1"/>
    <col min="6920" max="6920" width="14.140625" style="53" customWidth="1"/>
    <col min="6921" max="6921" width="6.42578125" style="53" customWidth="1"/>
    <col min="6922" max="6922" width="11.42578125" style="53" customWidth="1"/>
    <col min="6923" max="6923" width="16.28515625" style="53" customWidth="1"/>
    <col min="6924" max="6924" width="8.140625" style="53" customWidth="1"/>
    <col min="6925" max="6925" width="15" style="53" customWidth="1"/>
    <col min="6926" max="6926" width="8.5703125" style="53" customWidth="1"/>
    <col min="6927" max="6927" width="9.140625" style="53"/>
    <col min="6928" max="6928" width="10" style="53" bestFit="1" customWidth="1"/>
    <col min="6929" max="7168" width="9.140625" style="53"/>
    <col min="7169" max="7169" width="3.28515625" style="53" customWidth="1"/>
    <col min="7170" max="7170" width="11.85546875" style="53" customWidth="1"/>
    <col min="7171" max="7171" width="26.7109375" style="53" customWidth="1"/>
    <col min="7172" max="7172" width="16.28515625" style="53" customWidth="1"/>
    <col min="7173" max="7173" width="8.7109375" style="53" customWidth="1"/>
    <col min="7174" max="7174" width="12.85546875" style="53" customWidth="1"/>
    <col min="7175" max="7175" width="6.85546875" style="53" customWidth="1"/>
    <col min="7176" max="7176" width="14.140625" style="53" customWidth="1"/>
    <col min="7177" max="7177" width="6.42578125" style="53" customWidth="1"/>
    <col min="7178" max="7178" width="11.42578125" style="53" customWidth="1"/>
    <col min="7179" max="7179" width="16.28515625" style="53" customWidth="1"/>
    <col min="7180" max="7180" width="8.140625" style="53" customWidth="1"/>
    <col min="7181" max="7181" width="15" style="53" customWidth="1"/>
    <col min="7182" max="7182" width="8.5703125" style="53" customWidth="1"/>
    <col min="7183" max="7183" width="9.140625" style="53"/>
    <col min="7184" max="7184" width="10" style="53" bestFit="1" customWidth="1"/>
    <col min="7185" max="7424" width="9.140625" style="53"/>
    <col min="7425" max="7425" width="3.28515625" style="53" customWidth="1"/>
    <col min="7426" max="7426" width="11.85546875" style="53" customWidth="1"/>
    <col min="7427" max="7427" width="26.7109375" style="53" customWidth="1"/>
    <col min="7428" max="7428" width="16.28515625" style="53" customWidth="1"/>
    <col min="7429" max="7429" width="8.7109375" style="53" customWidth="1"/>
    <col min="7430" max="7430" width="12.85546875" style="53" customWidth="1"/>
    <col min="7431" max="7431" width="6.85546875" style="53" customWidth="1"/>
    <col min="7432" max="7432" width="14.140625" style="53" customWidth="1"/>
    <col min="7433" max="7433" width="6.42578125" style="53" customWidth="1"/>
    <col min="7434" max="7434" width="11.42578125" style="53" customWidth="1"/>
    <col min="7435" max="7435" width="16.28515625" style="53" customWidth="1"/>
    <col min="7436" max="7436" width="8.140625" style="53" customWidth="1"/>
    <col min="7437" max="7437" width="15" style="53" customWidth="1"/>
    <col min="7438" max="7438" width="8.5703125" style="53" customWidth="1"/>
    <col min="7439" max="7439" width="9.140625" style="53"/>
    <col min="7440" max="7440" width="10" style="53" bestFit="1" customWidth="1"/>
    <col min="7441" max="7680" width="9.140625" style="53"/>
    <col min="7681" max="7681" width="3.28515625" style="53" customWidth="1"/>
    <col min="7682" max="7682" width="11.85546875" style="53" customWidth="1"/>
    <col min="7683" max="7683" width="26.7109375" style="53" customWidth="1"/>
    <col min="7684" max="7684" width="16.28515625" style="53" customWidth="1"/>
    <col min="7685" max="7685" width="8.7109375" style="53" customWidth="1"/>
    <col min="7686" max="7686" width="12.85546875" style="53" customWidth="1"/>
    <col min="7687" max="7687" width="6.85546875" style="53" customWidth="1"/>
    <col min="7688" max="7688" width="14.140625" style="53" customWidth="1"/>
    <col min="7689" max="7689" width="6.42578125" style="53" customWidth="1"/>
    <col min="7690" max="7690" width="11.42578125" style="53" customWidth="1"/>
    <col min="7691" max="7691" width="16.28515625" style="53" customWidth="1"/>
    <col min="7692" max="7692" width="8.140625" style="53" customWidth="1"/>
    <col min="7693" max="7693" width="15" style="53" customWidth="1"/>
    <col min="7694" max="7694" width="8.5703125" style="53" customWidth="1"/>
    <col min="7695" max="7695" width="9.140625" style="53"/>
    <col min="7696" max="7696" width="10" style="53" bestFit="1" customWidth="1"/>
    <col min="7697" max="7936" width="9.140625" style="53"/>
    <col min="7937" max="7937" width="3.28515625" style="53" customWidth="1"/>
    <col min="7938" max="7938" width="11.85546875" style="53" customWidth="1"/>
    <col min="7939" max="7939" width="26.7109375" style="53" customWidth="1"/>
    <col min="7940" max="7940" width="16.28515625" style="53" customWidth="1"/>
    <col min="7941" max="7941" width="8.7109375" style="53" customWidth="1"/>
    <col min="7942" max="7942" width="12.85546875" style="53" customWidth="1"/>
    <col min="7943" max="7943" width="6.85546875" style="53" customWidth="1"/>
    <col min="7944" max="7944" width="14.140625" style="53" customWidth="1"/>
    <col min="7945" max="7945" width="6.42578125" style="53" customWidth="1"/>
    <col min="7946" max="7946" width="11.42578125" style="53" customWidth="1"/>
    <col min="7947" max="7947" width="16.28515625" style="53" customWidth="1"/>
    <col min="7948" max="7948" width="8.140625" style="53" customWidth="1"/>
    <col min="7949" max="7949" width="15" style="53" customWidth="1"/>
    <col min="7950" max="7950" width="8.5703125" style="53" customWidth="1"/>
    <col min="7951" max="7951" width="9.140625" style="53"/>
    <col min="7952" max="7952" width="10" style="53" bestFit="1" customWidth="1"/>
    <col min="7953" max="8192" width="9.140625" style="53"/>
    <col min="8193" max="8193" width="3.28515625" style="53" customWidth="1"/>
    <col min="8194" max="8194" width="11.85546875" style="53" customWidth="1"/>
    <col min="8195" max="8195" width="26.7109375" style="53" customWidth="1"/>
    <col min="8196" max="8196" width="16.28515625" style="53" customWidth="1"/>
    <col min="8197" max="8197" width="8.7109375" style="53" customWidth="1"/>
    <col min="8198" max="8198" width="12.85546875" style="53" customWidth="1"/>
    <col min="8199" max="8199" width="6.85546875" style="53" customWidth="1"/>
    <col min="8200" max="8200" width="14.140625" style="53" customWidth="1"/>
    <col min="8201" max="8201" width="6.42578125" style="53" customWidth="1"/>
    <col min="8202" max="8202" width="11.42578125" style="53" customWidth="1"/>
    <col min="8203" max="8203" width="16.28515625" style="53" customWidth="1"/>
    <col min="8204" max="8204" width="8.140625" style="53" customWidth="1"/>
    <col min="8205" max="8205" width="15" style="53" customWidth="1"/>
    <col min="8206" max="8206" width="8.5703125" style="53" customWidth="1"/>
    <col min="8207" max="8207" width="9.140625" style="53"/>
    <col min="8208" max="8208" width="10" style="53" bestFit="1" customWidth="1"/>
    <col min="8209" max="8448" width="9.140625" style="53"/>
    <col min="8449" max="8449" width="3.28515625" style="53" customWidth="1"/>
    <col min="8450" max="8450" width="11.85546875" style="53" customWidth="1"/>
    <col min="8451" max="8451" width="26.7109375" style="53" customWidth="1"/>
    <col min="8452" max="8452" width="16.28515625" style="53" customWidth="1"/>
    <col min="8453" max="8453" width="8.7109375" style="53" customWidth="1"/>
    <col min="8454" max="8454" width="12.85546875" style="53" customWidth="1"/>
    <col min="8455" max="8455" width="6.85546875" style="53" customWidth="1"/>
    <col min="8456" max="8456" width="14.140625" style="53" customWidth="1"/>
    <col min="8457" max="8457" width="6.42578125" style="53" customWidth="1"/>
    <col min="8458" max="8458" width="11.42578125" style="53" customWidth="1"/>
    <col min="8459" max="8459" width="16.28515625" style="53" customWidth="1"/>
    <col min="8460" max="8460" width="8.140625" style="53" customWidth="1"/>
    <col min="8461" max="8461" width="15" style="53" customWidth="1"/>
    <col min="8462" max="8462" width="8.5703125" style="53" customWidth="1"/>
    <col min="8463" max="8463" width="9.140625" style="53"/>
    <col min="8464" max="8464" width="10" style="53" bestFit="1" customWidth="1"/>
    <col min="8465" max="8704" width="9.140625" style="53"/>
    <col min="8705" max="8705" width="3.28515625" style="53" customWidth="1"/>
    <col min="8706" max="8706" width="11.85546875" style="53" customWidth="1"/>
    <col min="8707" max="8707" width="26.7109375" style="53" customWidth="1"/>
    <col min="8708" max="8708" width="16.28515625" style="53" customWidth="1"/>
    <col min="8709" max="8709" width="8.7109375" style="53" customWidth="1"/>
    <col min="8710" max="8710" width="12.85546875" style="53" customWidth="1"/>
    <col min="8711" max="8711" width="6.85546875" style="53" customWidth="1"/>
    <col min="8712" max="8712" width="14.140625" style="53" customWidth="1"/>
    <col min="8713" max="8713" width="6.42578125" style="53" customWidth="1"/>
    <col min="8714" max="8714" width="11.42578125" style="53" customWidth="1"/>
    <col min="8715" max="8715" width="16.28515625" style="53" customWidth="1"/>
    <col min="8716" max="8716" width="8.140625" style="53" customWidth="1"/>
    <col min="8717" max="8717" width="15" style="53" customWidth="1"/>
    <col min="8718" max="8718" width="8.5703125" style="53" customWidth="1"/>
    <col min="8719" max="8719" width="9.140625" style="53"/>
    <col min="8720" max="8720" width="10" style="53" bestFit="1" customWidth="1"/>
    <col min="8721" max="8960" width="9.140625" style="53"/>
    <col min="8961" max="8961" width="3.28515625" style="53" customWidth="1"/>
    <col min="8962" max="8962" width="11.85546875" style="53" customWidth="1"/>
    <col min="8963" max="8963" width="26.7109375" style="53" customWidth="1"/>
    <col min="8964" max="8964" width="16.28515625" style="53" customWidth="1"/>
    <col min="8965" max="8965" width="8.7109375" style="53" customWidth="1"/>
    <col min="8966" max="8966" width="12.85546875" style="53" customWidth="1"/>
    <col min="8967" max="8967" width="6.85546875" style="53" customWidth="1"/>
    <col min="8968" max="8968" width="14.140625" style="53" customWidth="1"/>
    <col min="8969" max="8969" width="6.42578125" style="53" customWidth="1"/>
    <col min="8970" max="8970" width="11.42578125" style="53" customWidth="1"/>
    <col min="8971" max="8971" width="16.28515625" style="53" customWidth="1"/>
    <col min="8972" max="8972" width="8.140625" style="53" customWidth="1"/>
    <col min="8973" max="8973" width="15" style="53" customWidth="1"/>
    <col min="8974" max="8974" width="8.5703125" style="53" customWidth="1"/>
    <col min="8975" max="8975" width="9.140625" style="53"/>
    <col min="8976" max="8976" width="10" style="53" bestFit="1" customWidth="1"/>
    <col min="8977" max="9216" width="9.140625" style="53"/>
    <col min="9217" max="9217" width="3.28515625" style="53" customWidth="1"/>
    <col min="9218" max="9218" width="11.85546875" style="53" customWidth="1"/>
    <col min="9219" max="9219" width="26.7109375" style="53" customWidth="1"/>
    <col min="9220" max="9220" width="16.28515625" style="53" customWidth="1"/>
    <col min="9221" max="9221" width="8.7109375" style="53" customWidth="1"/>
    <col min="9222" max="9222" width="12.85546875" style="53" customWidth="1"/>
    <col min="9223" max="9223" width="6.85546875" style="53" customWidth="1"/>
    <col min="9224" max="9224" width="14.140625" style="53" customWidth="1"/>
    <col min="9225" max="9225" width="6.42578125" style="53" customWidth="1"/>
    <col min="9226" max="9226" width="11.42578125" style="53" customWidth="1"/>
    <col min="9227" max="9227" width="16.28515625" style="53" customWidth="1"/>
    <col min="9228" max="9228" width="8.140625" style="53" customWidth="1"/>
    <col min="9229" max="9229" width="15" style="53" customWidth="1"/>
    <col min="9230" max="9230" width="8.5703125" style="53" customWidth="1"/>
    <col min="9231" max="9231" width="9.140625" style="53"/>
    <col min="9232" max="9232" width="10" style="53" bestFit="1" customWidth="1"/>
    <col min="9233" max="9472" width="9.140625" style="53"/>
    <col min="9473" max="9473" width="3.28515625" style="53" customWidth="1"/>
    <col min="9474" max="9474" width="11.85546875" style="53" customWidth="1"/>
    <col min="9475" max="9475" width="26.7109375" style="53" customWidth="1"/>
    <col min="9476" max="9476" width="16.28515625" style="53" customWidth="1"/>
    <col min="9477" max="9477" width="8.7109375" style="53" customWidth="1"/>
    <col min="9478" max="9478" width="12.85546875" style="53" customWidth="1"/>
    <col min="9479" max="9479" width="6.85546875" style="53" customWidth="1"/>
    <col min="9480" max="9480" width="14.140625" style="53" customWidth="1"/>
    <col min="9481" max="9481" width="6.42578125" style="53" customWidth="1"/>
    <col min="9482" max="9482" width="11.42578125" style="53" customWidth="1"/>
    <col min="9483" max="9483" width="16.28515625" style="53" customWidth="1"/>
    <col min="9484" max="9484" width="8.140625" style="53" customWidth="1"/>
    <col min="9485" max="9485" width="15" style="53" customWidth="1"/>
    <col min="9486" max="9486" width="8.5703125" style="53" customWidth="1"/>
    <col min="9487" max="9487" width="9.140625" style="53"/>
    <col min="9488" max="9488" width="10" style="53" bestFit="1" customWidth="1"/>
    <col min="9489" max="9728" width="9.140625" style="53"/>
    <col min="9729" max="9729" width="3.28515625" style="53" customWidth="1"/>
    <col min="9730" max="9730" width="11.85546875" style="53" customWidth="1"/>
    <col min="9731" max="9731" width="26.7109375" style="53" customWidth="1"/>
    <col min="9732" max="9732" width="16.28515625" style="53" customWidth="1"/>
    <col min="9733" max="9733" width="8.7109375" style="53" customWidth="1"/>
    <col min="9734" max="9734" width="12.85546875" style="53" customWidth="1"/>
    <col min="9735" max="9735" width="6.85546875" style="53" customWidth="1"/>
    <col min="9736" max="9736" width="14.140625" style="53" customWidth="1"/>
    <col min="9737" max="9737" width="6.42578125" style="53" customWidth="1"/>
    <col min="9738" max="9738" width="11.42578125" style="53" customWidth="1"/>
    <col min="9739" max="9739" width="16.28515625" style="53" customWidth="1"/>
    <col min="9740" max="9740" width="8.140625" style="53" customWidth="1"/>
    <col min="9741" max="9741" width="15" style="53" customWidth="1"/>
    <col min="9742" max="9742" width="8.5703125" style="53" customWidth="1"/>
    <col min="9743" max="9743" width="9.140625" style="53"/>
    <col min="9744" max="9744" width="10" style="53" bestFit="1" customWidth="1"/>
    <col min="9745" max="9984" width="9.140625" style="53"/>
    <col min="9985" max="9985" width="3.28515625" style="53" customWidth="1"/>
    <col min="9986" max="9986" width="11.85546875" style="53" customWidth="1"/>
    <col min="9987" max="9987" width="26.7109375" style="53" customWidth="1"/>
    <col min="9988" max="9988" width="16.28515625" style="53" customWidth="1"/>
    <col min="9989" max="9989" width="8.7109375" style="53" customWidth="1"/>
    <col min="9990" max="9990" width="12.85546875" style="53" customWidth="1"/>
    <col min="9991" max="9991" width="6.85546875" style="53" customWidth="1"/>
    <col min="9992" max="9992" width="14.140625" style="53" customWidth="1"/>
    <col min="9993" max="9993" width="6.42578125" style="53" customWidth="1"/>
    <col min="9994" max="9994" width="11.42578125" style="53" customWidth="1"/>
    <col min="9995" max="9995" width="16.28515625" style="53" customWidth="1"/>
    <col min="9996" max="9996" width="8.140625" style="53" customWidth="1"/>
    <col min="9997" max="9997" width="15" style="53" customWidth="1"/>
    <col min="9998" max="9998" width="8.5703125" style="53" customWidth="1"/>
    <col min="9999" max="9999" width="9.140625" style="53"/>
    <col min="10000" max="10000" width="10" style="53" bestFit="1" customWidth="1"/>
    <col min="10001" max="10240" width="9.140625" style="53"/>
    <col min="10241" max="10241" width="3.28515625" style="53" customWidth="1"/>
    <col min="10242" max="10242" width="11.85546875" style="53" customWidth="1"/>
    <col min="10243" max="10243" width="26.7109375" style="53" customWidth="1"/>
    <col min="10244" max="10244" width="16.28515625" style="53" customWidth="1"/>
    <col min="10245" max="10245" width="8.7109375" style="53" customWidth="1"/>
    <col min="10246" max="10246" width="12.85546875" style="53" customWidth="1"/>
    <col min="10247" max="10247" width="6.85546875" style="53" customWidth="1"/>
    <col min="10248" max="10248" width="14.140625" style="53" customWidth="1"/>
    <col min="10249" max="10249" width="6.42578125" style="53" customWidth="1"/>
    <col min="10250" max="10250" width="11.42578125" style="53" customWidth="1"/>
    <col min="10251" max="10251" width="16.28515625" style="53" customWidth="1"/>
    <col min="10252" max="10252" width="8.140625" style="53" customWidth="1"/>
    <col min="10253" max="10253" width="15" style="53" customWidth="1"/>
    <col min="10254" max="10254" width="8.5703125" style="53" customWidth="1"/>
    <col min="10255" max="10255" width="9.140625" style="53"/>
    <col min="10256" max="10256" width="10" style="53" bestFit="1" customWidth="1"/>
    <col min="10257" max="10496" width="9.140625" style="53"/>
    <col min="10497" max="10497" width="3.28515625" style="53" customWidth="1"/>
    <col min="10498" max="10498" width="11.85546875" style="53" customWidth="1"/>
    <col min="10499" max="10499" width="26.7109375" style="53" customWidth="1"/>
    <col min="10500" max="10500" width="16.28515625" style="53" customWidth="1"/>
    <col min="10501" max="10501" width="8.7109375" style="53" customWidth="1"/>
    <col min="10502" max="10502" width="12.85546875" style="53" customWidth="1"/>
    <col min="10503" max="10503" width="6.85546875" style="53" customWidth="1"/>
    <col min="10504" max="10504" width="14.140625" style="53" customWidth="1"/>
    <col min="10505" max="10505" width="6.42578125" style="53" customWidth="1"/>
    <col min="10506" max="10506" width="11.42578125" style="53" customWidth="1"/>
    <col min="10507" max="10507" width="16.28515625" style="53" customWidth="1"/>
    <col min="10508" max="10508" width="8.140625" style="53" customWidth="1"/>
    <col min="10509" max="10509" width="15" style="53" customWidth="1"/>
    <col min="10510" max="10510" width="8.5703125" style="53" customWidth="1"/>
    <col min="10511" max="10511" width="9.140625" style="53"/>
    <col min="10512" max="10512" width="10" style="53" bestFit="1" customWidth="1"/>
    <col min="10513" max="10752" width="9.140625" style="53"/>
    <col min="10753" max="10753" width="3.28515625" style="53" customWidth="1"/>
    <col min="10754" max="10754" width="11.85546875" style="53" customWidth="1"/>
    <col min="10755" max="10755" width="26.7109375" style="53" customWidth="1"/>
    <col min="10756" max="10756" width="16.28515625" style="53" customWidth="1"/>
    <col min="10757" max="10757" width="8.7109375" style="53" customWidth="1"/>
    <col min="10758" max="10758" width="12.85546875" style="53" customWidth="1"/>
    <col min="10759" max="10759" width="6.85546875" style="53" customWidth="1"/>
    <col min="10760" max="10760" width="14.140625" style="53" customWidth="1"/>
    <col min="10761" max="10761" width="6.42578125" style="53" customWidth="1"/>
    <col min="10762" max="10762" width="11.42578125" style="53" customWidth="1"/>
    <col min="10763" max="10763" width="16.28515625" style="53" customWidth="1"/>
    <col min="10764" max="10764" width="8.140625" style="53" customWidth="1"/>
    <col min="10765" max="10765" width="15" style="53" customWidth="1"/>
    <col min="10766" max="10766" width="8.5703125" style="53" customWidth="1"/>
    <col min="10767" max="10767" width="9.140625" style="53"/>
    <col min="10768" max="10768" width="10" style="53" bestFit="1" customWidth="1"/>
    <col min="10769" max="11008" width="9.140625" style="53"/>
    <col min="11009" max="11009" width="3.28515625" style="53" customWidth="1"/>
    <col min="11010" max="11010" width="11.85546875" style="53" customWidth="1"/>
    <col min="11011" max="11011" width="26.7109375" style="53" customWidth="1"/>
    <col min="11012" max="11012" width="16.28515625" style="53" customWidth="1"/>
    <col min="11013" max="11013" width="8.7109375" style="53" customWidth="1"/>
    <col min="11014" max="11014" width="12.85546875" style="53" customWidth="1"/>
    <col min="11015" max="11015" width="6.85546875" style="53" customWidth="1"/>
    <col min="11016" max="11016" width="14.140625" style="53" customWidth="1"/>
    <col min="11017" max="11017" width="6.42578125" style="53" customWidth="1"/>
    <col min="11018" max="11018" width="11.42578125" style="53" customWidth="1"/>
    <col min="11019" max="11019" width="16.28515625" style="53" customWidth="1"/>
    <col min="11020" max="11020" width="8.140625" style="53" customWidth="1"/>
    <col min="11021" max="11021" width="15" style="53" customWidth="1"/>
    <col min="11022" max="11022" width="8.5703125" style="53" customWidth="1"/>
    <col min="11023" max="11023" width="9.140625" style="53"/>
    <col min="11024" max="11024" width="10" style="53" bestFit="1" customWidth="1"/>
    <col min="11025" max="11264" width="9.140625" style="53"/>
    <col min="11265" max="11265" width="3.28515625" style="53" customWidth="1"/>
    <col min="11266" max="11266" width="11.85546875" style="53" customWidth="1"/>
    <col min="11267" max="11267" width="26.7109375" style="53" customWidth="1"/>
    <col min="11268" max="11268" width="16.28515625" style="53" customWidth="1"/>
    <col min="11269" max="11269" width="8.7109375" style="53" customWidth="1"/>
    <col min="11270" max="11270" width="12.85546875" style="53" customWidth="1"/>
    <col min="11271" max="11271" width="6.85546875" style="53" customWidth="1"/>
    <col min="11272" max="11272" width="14.140625" style="53" customWidth="1"/>
    <col min="11273" max="11273" width="6.42578125" style="53" customWidth="1"/>
    <col min="11274" max="11274" width="11.42578125" style="53" customWidth="1"/>
    <col min="11275" max="11275" width="16.28515625" style="53" customWidth="1"/>
    <col min="11276" max="11276" width="8.140625" style="53" customWidth="1"/>
    <col min="11277" max="11277" width="15" style="53" customWidth="1"/>
    <col min="11278" max="11278" width="8.5703125" style="53" customWidth="1"/>
    <col min="11279" max="11279" width="9.140625" style="53"/>
    <col min="11280" max="11280" width="10" style="53" bestFit="1" customWidth="1"/>
    <col min="11281" max="11520" width="9.140625" style="53"/>
    <col min="11521" max="11521" width="3.28515625" style="53" customWidth="1"/>
    <col min="11522" max="11522" width="11.85546875" style="53" customWidth="1"/>
    <col min="11523" max="11523" width="26.7109375" style="53" customWidth="1"/>
    <col min="11524" max="11524" width="16.28515625" style="53" customWidth="1"/>
    <col min="11525" max="11525" width="8.7109375" style="53" customWidth="1"/>
    <col min="11526" max="11526" width="12.85546875" style="53" customWidth="1"/>
    <col min="11527" max="11527" width="6.85546875" style="53" customWidth="1"/>
    <col min="11528" max="11528" width="14.140625" style="53" customWidth="1"/>
    <col min="11529" max="11529" width="6.42578125" style="53" customWidth="1"/>
    <col min="11530" max="11530" width="11.42578125" style="53" customWidth="1"/>
    <col min="11531" max="11531" width="16.28515625" style="53" customWidth="1"/>
    <col min="11532" max="11532" width="8.140625" style="53" customWidth="1"/>
    <col min="11533" max="11533" width="15" style="53" customWidth="1"/>
    <col min="11534" max="11534" width="8.5703125" style="53" customWidth="1"/>
    <col min="11535" max="11535" width="9.140625" style="53"/>
    <col min="11536" max="11536" width="10" style="53" bestFit="1" customWidth="1"/>
    <col min="11537" max="11776" width="9.140625" style="53"/>
    <col min="11777" max="11777" width="3.28515625" style="53" customWidth="1"/>
    <col min="11778" max="11778" width="11.85546875" style="53" customWidth="1"/>
    <col min="11779" max="11779" width="26.7109375" style="53" customWidth="1"/>
    <col min="11780" max="11780" width="16.28515625" style="53" customWidth="1"/>
    <col min="11781" max="11781" width="8.7109375" style="53" customWidth="1"/>
    <col min="11782" max="11782" width="12.85546875" style="53" customWidth="1"/>
    <col min="11783" max="11783" width="6.85546875" style="53" customWidth="1"/>
    <col min="11784" max="11784" width="14.140625" style="53" customWidth="1"/>
    <col min="11785" max="11785" width="6.42578125" style="53" customWidth="1"/>
    <col min="11786" max="11786" width="11.42578125" style="53" customWidth="1"/>
    <col min="11787" max="11787" width="16.28515625" style="53" customWidth="1"/>
    <col min="11788" max="11788" width="8.140625" style="53" customWidth="1"/>
    <col min="11789" max="11789" width="15" style="53" customWidth="1"/>
    <col min="11790" max="11790" width="8.5703125" style="53" customWidth="1"/>
    <col min="11791" max="11791" width="9.140625" style="53"/>
    <col min="11792" max="11792" width="10" style="53" bestFit="1" customWidth="1"/>
    <col min="11793" max="12032" width="9.140625" style="53"/>
    <col min="12033" max="12033" width="3.28515625" style="53" customWidth="1"/>
    <col min="12034" max="12034" width="11.85546875" style="53" customWidth="1"/>
    <col min="12035" max="12035" width="26.7109375" style="53" customWidth="1"/>
    <col min="12036" max="12036" width="16.28515625" style="53" customWidth="1"/>
    <col min="12037" max="12037" width="8.7109375" style="53" customWidth="1"/>
    <col min="12038" max="12038" width="12.85546875" style="53" customWidth="1"/>
    <col min="12039" max="12039" width="6.85546875" style="53" customWidth="1"/>
    <col min="12040" max="12040" width="14.140625" style="53" customWidth="1"/>
    <col min="12041" max="12041" width="6.42578125" style="53" customWidth="1"/>
    <col min="12042" max="12042" width="11.42578125" style="53" customWidth="1"/>
    <col min="12043" max="12043" width="16.28515625" style="53" customWidth="1"/>
    <col min="12044" max="12044" width="8.140625" style="53" customWidth="1"/>
    <col min="12045" max="12045" width="15" style="53" customWidth="1"/>
    <col min="12046" max="12046" width="8.5703125" style="53" customWidth="1"/>
    <col min="12047" max="12047" width="9.140625" style="53"/>
    <col min="12048" max="12048" width="10" style="53" bestFit="1" customWidth="1"/>
    <col min="12049" max="12288" width="9.140625" style="53"/>
    <col min="12289" max="12289" width="3.28515625" style="53" customWidth="1"/>
    <col min="12290" max="12290" width="11.85546875" style="53" customWidth="1"/>
    <col min="12291" max="12291" width="26.7109375" style="53" customWidth="1"/>
    <col min="12292" max="12292" width="16.28515625" style="53" customWidth="1"/>
    <col min="12293" max="12293" width="8.7109375" style="53" customWidth="1"/>
    <col min="12294" max="12294" width="12.85546875" style="53" customWidth="1"/>
    <col min="12295" max="12295" width="6.85546875" style="53" customWidth="1"/>
    <col min="12296" max="12296" width="14.140625" style="53" customWidth="1"/>
    <col min="12297" max="12297" width="6.42578125" style="53" customWidth="1"/>
    <col min="12298" max="12298" width="11.42578125" style="53" customWidth="1"/>
    <col min="12299" max="12299" width="16.28515625" style="53" customWidth="1"/>
    <col min="12300" max="12300" width="8.140625" style="53" customWidth="1"/>
    <col min="12301" max="12301" width="15" style="53" customWidth="1"/>
    <col min="12302" max="12302" width="8.5703125" style="53" customWidth="1"/>
    <col min="12303" max="12303" width="9.140625" style="53"/>
    <col min="12304" max="12304" width="10" style="53" bestFit="1" customWidth="1"/>
    <col min="12305" max="12544" width="9.140625" style="53"/>
    <col min="12545" max="12545" width="3.28515625" style="53" customWidth="1"/>
    <col min="12546" max="12546" width="11.85546875" style="53" customWidth="1"/>
    <col min="12547" max="12547" width="26.7109375" style="53" customWidth="1"/>
    <col min="12548" max="12548" width="16.28515625" style="53" customWidth="1"/>
    <col min="12549" max="12549" width="8.7109375" style="53" customWidth="1"/>
    <col min="12550" max="12550" width="12.85546875" style="53" customWidth="1"/>
    <col min="12551" max="12551" width="6.85546875" style="53" customWidth="1"/>
    <col min="12552" max="12552" width="14.140625" style="53" customWidth="1"/>
    <col min="12553" max="12553" width="6.42578125" style="53" customWidth="1"/>
    <col min="12554" max="12554" width="11.42578125" style="53" customWidth="1"/>
    <col min="12555" max="12555" width="16.28515625" style="53" customWidth="1"/>
    <col min="12556" max="12556" width="8.140625" style="53" customWidth="1"/>
    <col min="12557" max="12557" width="15" style="53" customWidth="1"/>
    <col min="12558" max="12558" width="8.5703125" style="53" customWidth="1"/>
    <col min="12559" max="12559" width="9.140625" style="53"/>
    <col min="12560" max="12560" width="10" style="53" bestFit="1" customWidth="1"/>
    <col min="12561" max="12800" width="9.140625" style="53"/>
    <col min="12801" max="12801" width="3.28515625" style="53" customWidth="1"/>
    <col min="12802" max="12802" width="11.85546875" style="53" customWidth="1"/>
    <col min="12803" max="12803" width="26.7109375" style="53" customWidth="1"/>
    <col min="12804" max="12804" width="16.28515625" style="53" customWidth="1"/>
    <col min="12805" max="12805" width="8.7109375" style="53" customWidth="1"/>
    <col min="12806" max="12806" width="12.85546875" style="53" customWidth="1"/>
    <col min="12807" max="12807" width="6.85546875" style="53" customWidth="1"/>
    <col min="12808" max="12808" width="14.140625" style="53" customWidth="1"/>
    <col min="12809" max="12809" width="6.42578125" style="53" customWidth="1"/>
    <col min="12810" max="12810" width="11.42578125" style="53" customWidth="1"/>
    <col min="12811" max="12811" width="16.28515625" style="53" customWidth="1"/>
    <col min="12812" max="12812" width="8.140625" style="53" customWidth="1"/>
    <col min="12813" max="12813" width="15" style="53" customWidth="1"/>
    <col min="12814" max="12814" width="8.5703125" style="53" customWidth="1"/>
    <col min="12815" max="12815" width="9.140625" style="53"/>
    <col min="12816" max="12816" width="10" style="53" bestFit="1" customWidth="1"/>
    <col min="12817" max="13056" width="9.140625" style="53"/>
    <col min="13057" max="13057" width="3.28515625" style="53" customWidth="1"/>
    <col min="13058" max="13058" width="11.85546875" style="53" customWidth="1"/>
    <col min="13059" max="13059" width="26.7109375" style="53" customWidth="1"/>
    <col min="13060" max="13060" width="16.28515625" style="53" customWidth="1"/>
    <col min="13061" max="13061" width="8.7109375" style="53" customWidth="1"/>
    <col min="13062" max="13062" width="12.85546875" style="53" customWidth="1"/>
    <col min="13063" max="13063" width="6.85546875" style="53" customWidth="1"/>
    <col min="13064" max="13064" width="14.140625" style="53" customWidth="1"/>
    <col min="13065" max="13065" width="6.42578125" style="53" customWidth="1"/>
    <col min="13066" max="13066" width="11.42578125" style="53" customWidth="1"/>
    <col min="13067" max="13067" width="16.28515625" style="53" customWidth="1"/>
    <col min="13068" max="13068" width="8.140625" style="53" customWidth="1"/>
    <col min="13069" max="13069" width="15" style="53" customWidth="1"/>
    <col min="13070" max="13070" width="8.5703125" style="53" customWidth="1"/>
    <col min="13071" max="13071" width="9.140625" style="53"/>
    <col min="13072" max="13072" width="10" style="53" bestFit="1" customWidth="1"/>
    <col min="13073" max="13312" width="9.140625" style="53"/>
    <col min="13313" max="13313" width="3.28515625" style="53" customWidth="1"/>
    <col min="13314" max="13314" width="11.85546875" style="53" customWidth="1"/>
    <col min="13315" max="13315" width="26.7109375" style="53" customWidth="1"/>
    <col min="13316" max="13316" width="16.28515625" style="53" customWidth="1"/>
    <col min="13317" max="13317" width="8.7109375" style="53" customWidth="1"/>
    <col min="13318" max="13318" width="12.85546875" style="53" customWidth="1"/>
    <col min="13319" max="13319" width="6.85546875" style="53" customWidth="1"/>
    <col min="13320" max="13320" width="14.140625" style="53" customWidth="1"/>
    <col min="13321" max="13321" width="6.42578125" style="53" customWidth="1"/>
    <col min="13322" max="13322" width="11.42578125" style="53" customWidth="1"/>
    <col min="13323" max="13323" width="16.28515625" style="53" customWidth="1"/>
    <col min="13324" max="13324" width="8.140625" style="53" customWidth="1"/>
    <col min="13325" max="13325" width="15" style="53" customWidth="1"/>
    <col min="13326" max="13326" width="8.5703125" style="53" customWidth="1"/>
    <col min="13327" max="13327" width="9.140625" style="53"/>
    <col min="13328" max="13328" width="10" style="53" bestFit="1" customWidth="1"/>
    <col min="13329" max="13568" width="9.140625" style="53"/>
    <col min="13569" max="13569" width="3.28515625" style="53" customWidth="1"/>
    <col min="13570" max="13570" width="11.85546875" style="53" customWidth="1"/>
    <col min="13571" max="13571" width="26.7109375" style="53" customWidth="1"/>
    <col min="13572" max="13572" width="16.28515625" style="53" customWidth="1"/>
    <col min="13573" max="13573" width="8.7109375" style="53" customWidth="1"/>
    <col min="13574" max="13574" width="12.85546875" style="53" customWidth="1"/>
    <col min="13575" max="13575" width="6.85546875" style="53" customWidth="1"/>
    <col min="13576" max="13576" width="14.140625" style="53" customWidth="1"/>
    <col min="13577" max="13577" width="6.42578125" style="53" customWidth="1"/>
    <col min="13578" max="13578" width="11.42578125" style="53" customWidth="1"/>
    <col min="13579" max="13579" width="16.28515625" style="53" customWidth="1"/>
    <col min="13580" max="13580" width="8.140625" style="53" customWidth="1"/>
    <col min="13581" max="13581" width="15" style="53" customWidth="1"/>
    <col min="13582" max="13582" width="8.5703125" style="53" customWidth="1"/>
    <col min="13583" max="13583" width="9.140625" style="53"/>
    <col min="13584" max="13584" width="10" style="53" bestFit="1" customWidth="1"/>
    <col min="13585" max="13824" width="9.140625" style="53"/>
    <col min="13825" max="13825" width="3.28515625" style="53" customWidth="1"/>
    <col min="13826" max="13826" width="11.85546875" style="53" customWidth="1"/>
    <col min="13827" max="13827" width="26.7109375" style="53" customWidth="1"/>
    <col min="13828" max="13828" width="16.28515625" style="53" customWidth="1"/>
    <col min="13829" max="13829" width="8.7109375" style="53" customWidth="1"/>
    <col min="13830" max="13830" width="12.85546875" style="53" customWidth="1"/>
    <col min="13831" max="13831" width="6.85546875" style="53" customWidth="1"/>
    <col min="13832" max="13832" width="14.140625" style="53" customWidth="1"/>
    <col min="13833" max="13833" width="6.42578125" style="53" customWidth="1"/>
    <col min="13834" max="13834" width="11.42578125" style="53" customWidth="1"/>
    <col min="13835" max="13835" width="16.28515625" style="53" customWidth="1"/>
    <col min="13836" max="13836" width="8.140625" style="53" customWidth="1"/>
    <col min="13837" max="13837" width="15" style="53" customWidth="1"/>
    <col min="13838" max="13838" width="8.5703125" style="53" customWidth="1"/>
    <col min="13839" max="13839" width="9.140625" style="53"/>
    <col min="13840" max="13840" width="10" style="53" bestFit="1" customWidth="1"/>
    <col min="13841" max="14080" width="9.140625" style="53"/>
    <col min="14081" max="14081" width="3.28515625" style="53" customWidth="1"/>
    <col min="14082" max="14082" width="11.85546875" style="53" customWidth="1"/>
    <col min="14083" max="14083" width="26.7109375" style="53" customWidth="1"/>
    <col min="14084" max="14084" width="16.28515625" style="53" customWidth="1"/>
    <col min="14085" max="14085" width="8.7109375" style="53" customWidth="1"/>
    <col min="14086" max="14086" width="12.85546875" style="53" customWidth="1"/>
    <col min="14087" max="14087" width="6.85546875" style="53" customWidth="1"/>
    <col min="14088" max="14088" width="14.140625" style="53" customWidth="1"/>
    <col min="14089" max="14089" width="6.42578125" style="53" customWidth="1"/>
    <col min="14090" max="14090" width="11.42578125" style="53" customWidth="1"/>
    <col min="14091" max="14091" width="16.28515625" style="53" customWidth="1"/>
    <col min="14092" max="14092" width="8.140625" style="53" customWidth="1"/>
    <col min="14093" max="14093" width="15" style="53" customWidth="1"/>
    <col min="14094" max="14094" width="8.5703125" style="53" customWidth="1"/>
    <col min="14095" max="14095" width="9.140625" style="53"/>
    <col min="14096" max="14096" width="10" style="53" bestFit="1" customWidth="1"/>
    <col min="14097" max="14336" width="9.140625" style="53"/>
    <col min="14337" max="14337" width="3.28515625" style="53" customWidth="1"/>
    <col min="14338" max="14338" width="11.85546875" style="53" customWidth="1"/>
    <col min="14339" max="14339" width="26.7109375" style="53" customWidth="1"/>
    <col min="14340" max="14340" width="16.28515625" style="53" customWidth="1"/>
    <col min="14341" max="14341" width="8.7109375" style="53" customWidth="1"/>
    <col min="14342" max="14342" width="12.85546875" style="53" customWidth="1"/>
    <col min="14343" max="14343" width="6.85546875" style="53" customWidth="1"/>
    <col min="14344" max="14344" width="14.140625" style="53" customWidth="1"/>
    <col min="14345" max="14345" width="6.42578125" style="53" customWidth="1"/>
    <col min="14346" max="14346" width="11.42578125" style="53" customWidth="1"/>
    <col min="14347" max="14347" width="16.28515625" style="53" customWidth="1"/>
    <col min="14348" max="14348" width="8.140625" style="53" customWidth="1"/>
    <col min="14349" max="14349" width="15" style="53" customWidth="1"/>
    <col min="14350" max="14350" width="8.5703125" style="53" customWidth="1"/>
    <col min="14351" max="14351" width="9.140625" style="53"/>
    <col min="14352" max="14352" width="10" style="53" bestFit="1" customWidth="1"/>
    <col min="14353" max="14592" width="9.140625" style="53"/>
    <col min="14593" max="14593" width="3.28515625" style="53" customWidth="1"/>
    <col min="14594" max="14594" width="11.85546875" style="53" customWidth="1"/>
    <col min="14595" max="14595" width="26.7109375" style="53" customWidth="1"/>
    <col min="14596" max="14596" width="16.28515625" style="53" customWidth="1"/>
    <col min="14597" max="14597" width="8.7109375" style="53" customWidth="1"/>
    <col min="14598" max="14598" width="12.85546875" style="53" customWidth="1"/>
    <col min="14599" max="14599" width="6.85546875" style="53" customWidth="1"/>
    <col min="14600" max="14600" width="14.140625" style="53" customWidth="1"/>
    <col min="14601" max="14601" width="6.42578125" style="53" customWidth="1"/>
    <col min="14602" max="14602" width="11.42578125" style="53" customWidth="1"/>
    <col min="14603" max="14603" width="16.28515625" style="53" customWidth="1"/>
    <col min="14604" max="14604" width="8.140625" style="53" customWidth="1"/>
    <col min="14605" max="14605" width="15" style="53" customWidth="1"/>
    <col min="14606" max="14606" width="8.5703125" style="53" customWidth="1"/>
    <col min="14607" max="14607" width="9.140625" style="53"/>
    <col min="14608" max="14608" width="10" style="53" bestFit="1" customWidth="1"/>
    <col min="14609" max="14848" width="9.140625" style="53"/>
    <col min="14849" max="14849" width="3.28515625" style="53" customWidth="1"/>
    <col min="14850" max="14850" width="11.85546875" style="53" customWidth="1"/>
    <col min="14851" max="14851" width="26.7109375" style="53" customWidth="1"/>
    <col min="14852" max="14852" width="16.28515625" style="53" customWidth="1"/>
    <col min="14853" max="14853" width="8.7109375" style="53" customWidth="1"/>
    <col min="14854" max="14854" width="12.85546875" style="53" customWidth="1"/>
    <col min="14855" max="14855" width="6.85546875" style="53" customWidth="1"/>
    <col min="14856" max="14856" width="14.140625" style="53" customWidth="1"/>
    <col min="14857" max="14857" width="6.42578125" style="53" customWidth="1"/>
    <col min="14858" max="14858" width="11.42578125" style="53" customWidth="1"/>
    <col min="14859" max="14859" width="16.28515625" style="53" customWidth="1"/>
    <col min="14860" max="14860" width="8.140625" style="53" customWidth="1"/>
    <col min="14861" max="14861" width="15" style="53" customWidth="1"/>
    <col min="14862" max="14862" width="8.5703125" style="53" customWidth="1"/>
    <col min="14863" max="14863" width="9.140625" style="53"/>
    <col min="14864" max="14864" width="10" style="53" bestFit="1" customWidth="1"/>
    <col min="14865" max="15104" width="9.140625" style="53"/>
    <col min="15105" max="15105" width="3.28515625" style="53" customWidth="1"/>
    <col min="15106" max="15106" width="11.85546875" style="53" customWidth="1"/>
    <col min="15107" max="15107" width="26.7109375" style="53" customWidth="1"/>
    <col min="15108" max="15108" width="16.28515625" style="53" customWidth="1"/>
    <col min="15109" max="15109" width="8.7109375" style="53" customWidth="1"/>
    <col min="15110" max="15110" width="12.85546875" style="53" customWidth="1"/>
    <col min="15111" max="15111" width="6.85546875" style="53" customWidth="1"/>
    <col min="15112" max="15112" width="14.140625" style="53" customWidth="1"/>
    <col min="15113" max="15113" width="6.42578125" style="53" customWidth="1"/>
    <col min="15114" max="15114" width="11.42578125" style="53" customWidth="1"/>
    <col min="15115" max="15115" width="16.28515625" style="53" customWidth="1"/>
    <col min="15116" max="15116" width="8.140625" style="53" customWidth="1"/>
    <col min="15117" max="15117" width="15" style="53" customWidth="1"/>
    <col min="15118" max="15118" width="8.5703125" style="53" customWidth="1"/>
    <col min="15119" max="15119" width="9.140625" style="53"/>
    <col min="15120" max="15120" width="10" style="53" bestFit="1" customWidth="1"/>
    <col min="15121" max="15360" width="9.140625" style="53"/>
    <col min="15361" max="15361" width="3.28515625" style="53" customWidth="1"/>
    <col min="15362" max="15362" width="11.85546875" style="53" customWidth="1"/>
    <col min="15363" max="15363" width="26.7109375" style="53" customWidth="1"/>
    <col min="15364" max="15364" width="16.28515625" style="53" customWidth="1"/>
    <col min="15365" max="15365" width="8.7109375" style="53" customWidth="1"/>
    <col min="15366" max="15366" width="12.85546875" style="53" customWidth="1"/>
    <col min="15367" max="15367" width="6.85546875" style="53" customWidth="1"/>
    <col min="15368" max="15368" width="14.140625" style="53" customWidth="1"/>
    <col min="15369" max="15369" width="6.42578125" style="53" customWidth="1"/>
    <col min="15370" max="15370" width="11.42578125" style="53" customWidth="1"/>
    <col min="15371" max="15371" width="16.28515625" style="53" customWidth="1"/>
    <col min="15372" max="15372" width="8.140625" style="53" customWidth="1"/>
    <col min="15373" max="15373" width="15" style="53" customWidth="1"/>
    <col min="15374" max="15374" width="8.5703125" style="53" customWidth="1"/>
    <col min="15375" max="15375" width="9.140625" style="53"/>
    <col min="15376" max="15376" width="10" style="53" bestFit="1" customWidth="1"/>
    <col min="15377" max="15616" width="9.140625" style="53"/>
    <col min="15617" max="15617" width="3.28515625" style="53" customWidth="1"/>
    <col min="15618" max="15618" width="11.85546875" style="53" customWidth="1"/>
    <col min="15619" max="15619" width="26.7109375" style="53" customWidth="1"/>
    <col min="15620" max="15620" width="16.28515625" style="53" customWidth="1"/>
    <col min="15621" max="15621" width="8.7109375" style="53" customWidth="1"/>
    <col min="15622" max="15622" width="12.85546875" style="53" customWidth="1"/>
    <col min="15623" max="15623" width="6.85546875" style="53" customWidth="1"/>
    <col min="15624" max="15624" width="14.140625" style="53" customWidth="1"/>
    <col min="15625" max="15625" width="6.42578125" style="53" customWidth="1"/>
    <col min="15626" max="15626" width="11.42578125" style="53" customWidth="1"/>
    <col min="15627" max="15627" width="16.28515625" style="53" customWidth="1"/>
    <col min="15628" max="15628" width="8.140625" style="53" customWidth="1"/>
    <col min="15629" max="15629" width="15" style="53" customWidth="1"/>
    <col min="15630" max="15630" width="8.5703125" style="53" customWidth="1"/>
    <col min="15631" max="15631" width="9.140625" style="53"/>
    <col min="15632" max="15632" width="10" style="53" bestFit="1" customWidth="1"/>
    <col min="15633" max="15872" width="9.140625" style="53"/>
    <col min="15873" max="15873" width="3.28515625" style="53" customWidth="1"/>
    <col min="15874" max="15874" width="11.85546875" style="53" customWidth="1"/>
    <col min="15875" max="15875" width="26.7109375" style="53" customWidth="1"/>
    <col min="15876" max="15876" width="16.28515625" style="53" customWidth="1"/>
    <col min="15877" max="15877" width="8.7109375" style="53" customWidth="1"/>
    <col min="15878" max="15878" width="12.85546875" style="53" customWidth="1"/>
    <col min="15879" max="15879" width="6.85546875" style="53" customWidth="1"/>
    <col min="15880" max="15880" width="14.140625" style="53" customWidth="1"/>
    <col min="15881" max="15881" width="6.42578125" style="53" customWidth="1"/>
    <col min="15882" max="15882" width="11.42578125" style="53" customWidth="1"/>
    <col min="15883" max="15883" width="16.28515625" style="53" customWidth="1"/>
    <col min="15884" max="15884" width="8.140625" style="53" customWidth="1"/>
    <col min="15885" max="15885" width="15" style="53" customWidth="1"/>
    <col min="15886" max="15886" width="8.5703125" style="53" customWidth="1"/>
    <col min="15887" max="15887" width="9.140625" style="53"/>
    <col min="15888" max="15888" width="10" style="53" bestFit="1" customWidth="1"/>
    <col min="15889" max="16128" width="9.140625" style="53"/>
    <col min="16129" max="16129" width="3.28515625" style="53" customWidth="1"/>
    <col min="16130" max="16130" width="11.85546875" style="53" customWidth="1"/>
    <col min="16131" max="16131" width="26.7109375" style="53" customWidth="1"/>
    <col min="16132" max="16132" width="16.28515625" style="53" customWidth="1"/>
    <col min="16133" max="16133" width="8.7109375" style="53" customWidth="1"/>
    <col min="16134" max="16134" width="12.85546875" style="53" customWidth="1"/>
    <col min="16135" max="16135" width="6.85546875" style="53" customWidth="1"/>
    <col min="16136" max="16136" width="14.140625" style="53" customWidth="1"/>
    <col min="16137" max="16137" width="6.42578125" style="53" customWidth="1"/>
    <col min="16138" max="16138" width="11.42578125" style="53" customWidth="1"/>
    <col min="16139" max="16139" width="16.28515625" style="53" customWidth="1"/>
    <col min="16140" max="16140" width="8.140625" style="53" customWidth="1"/>
    <col min="16141" max="16141" width="15" style="53" customWidth="1"/>
    <col min="16142" max="16142" width="8.5703125" style="53" customWidth="1"/>
    <col min="16143" max="16143" width="9.140625" style="53"/>
    <col min="16144" max="16144" width="10" style="53" bestFit="1" customWidth="1"/>
    <col min="16145" max="16384" width="9.140625" style="53"/>
  </cols>
  <sheetData>
    <row r="1" spans="1:17" s="954" customFormat="1" ht="11.25">
      <c r="A1" s="952"/>
      <c r="B1" s="953"/>
      <c r="C1" s="952"/>
      <c r="D1" s="952"/>
      <c r="E1" s="952"/>
      <c r="F1" s="952"/>
      <c r="G1" s="952"/>
      <c r="H1" s="952"/>
      <c r="I1" s="952"/>
      <c r="J1" s="952"/>
      <c r="K1" s="952"/>
      <c r="L1" s="952"/>
      <c r="M1" s="952"/>
      <c r="N1" s="952"/>
    </row>
    <row r="2" spans="1:17" s="954" customFormat="1" ht="11.25">
      <c r="A2" s="952"/>
      <c r="B2" s="1163" t="s">
        <v>112</v>
      </c>
      <c r="C2" s="1163"/>
      <c r="D2" s="1163"/>
      <c r="E2" s="1163"/>
      <c r="F2" s="1163"/>
      <c r="G2" s="1163"/>
      <c r="H2" s="1163"/>
      <c r="I2" s="1163"/>
      <c r="J2" s="1163"/>
      <c r="K2" s="1163"/>
      <c r="L2" s="1163"/>
      <c r="M2" s="1163"/>
      <c r="N2" s="1163"/>
    </row>
    <row r="3" spans="1:17" s="954" customFormat="1" ht="11.25">
      <c r="A3" s="952"/>
      <c r="B3" s="1164" t="s">
        <v>198</v>
      </c>
      <c r="C3" s="1164"/>
      <c r="D3" s="1164"/>
      <c r="E3" s="1164"/>
      <c r="F3" s="1164"/>
      <c r="G3" s="1164"/>
      <c r="H3" s="1164"/>
      <c r="I3" s="1164"/>
      <c r="J3" s="1164"/>
      <c r="K3" s="1164"/>
      <c r="L3" s="1164"/>
      <c r="M3" s="1164"/>
      <c r="N3" s="1164"/>
    </row>
    <row r="4" spans="1:17" s="954" customFormat="1" ht="11.25">
      <c r="A4" s="952"/>
      <c r="B4" s="1165" t="s">
        <v>1</v>
      </c>
      <c r="C4" s="1165"/>
      <c r="D4" s="1165"/>
      <c r="E4" s="1165"/>
      <c r="F4" s="1165"/>
      <c r="G4" s="1165"/>
      <c r="H4" s="1165"/>
      <c r="I4" s="1165"/>
      <c r="J4" s="1165"/>
      <c r="K4" s="1165"/>
      <c r="L4" s="1165"/>
      <c r="M4" s="1165"/>
      <c r="N4" s="1165"/>
    </row>
    <row r="5" spans="1:17" s="954" customFormat="1" ht="11.25">
      <c r="A5" s="1166"/>
      <c r="B5" s="952"/>
      <c r="C5" s="952"/>
      <c r="D5" s="952"/>
      <c r="E5" s="952"/>
      <c r="F5" s="952"/>
      <c r="G5" s="952"/>
      <c r="H5" s="952"/>
      <c r="I5" s="952"/>
      <c r="J5" s="952"/>
      <c r="K5" s="952"/>
      <c r="L5" s="952"/>
      <c r="M5" s="952"/>
      <c r="N5" s="952"/>
    </row>
    <row r="6" spans="1:17" s="954" customFormat="1" ht="7.5" customHeight="1">
      <c r="A6" s="1166"/>
      <c r="B6" s="1167" t="s">
        <v>113</v>
      </c>
      <c r="C6" s="1168" t="s">
        <v>197</v>
      </c>
      <c r="D6" s="1168"/>
      <c r="E6" s="1168"/>
      <c r="F6" s="1167" t="s">
        <v>3</v>
      </c>
      <c r="G6" s="1167"/>
      <c r="H6" s="1168" t="s">
        <v>221</v>
      </c>
      <c r="I6" s="1168"/>
      <c r="J6" s="1168"/>
      <c r="K6" s="1168"/>
      <c r="L6" s="1168"/>
      <c r="M6" s="1168"/>
      <c r="N6" s="1168"/>
    </row>
    <row r="7" spans="1:17" s="954" customFormat="1" ht="7.5" customHeight="1">
      <c r="A7" s="952"/>
      <c r="B7" s="1167"/>
      <c r="C7" s="1168"/>
      <c r="D7" s="1168"/>
      <c r="E7" s="1168"/>
      <c r="F7" s="1167"/>
      <c r="G7" s="1167"/>
      <c r="H7" s="1168"/>
      <c r="I7" s="1168"/>
      <c r="J7" s="1168"/>
      <c r="K7" s="1168"/>
      <c r="L7" s="1168"/>
      <c r="M7" s="1168"/>
      <c r="N7" s="1168"/>
    </row>
    <row r="8" spans="1:17" s="954" customFormat="1" ht="14.25" customHeight="1">
      <c r="A8" s="952"/>
      <c r="B8" s="969" t="s">
        <v>114</v>
      </c>
      <c r="C8" s="1168" t="s">
        <v>189</v>
      </c>
      <c r="D8" s="1168"/>
      <c r="E8" s="1168"/>
      <c r="F8" s="1167" t="s">
        <v>115</v>
      </c>
      <c r="G8" s="1167"/>
      <c r="H8" s="1168" t="s">
        <v>188</v>
      </c>
      <c r="I8" s="1168"/>
      <c r="J8" s="1168"/>
      <c r="K8" s="1168"/>
      <c r="L8" s="1168"/>
      <c r="M8" s="1168"/>
      <c r="N8" s="1168"/>
    </row>
    <row r="9" spans="1:17">
      <c r="A9" s="455"/>
      <c r="B9" s="1170" t="s">
        <v>4</v>
      </c>
      <c r="C9" s="1170"/>
      <c r="D9" s="1171" t="s">
        <v>116</v>
      </c>
      <c r="E9" s="1171"/>
      <c r="F9" s="1171"/>
      <c r="G9" s="1171"/>
      <c r="H9" s="1171"/>
      <c r="I9" s="1171"/>
      <c r="J9" s="1171"/>
      <c r="K9" s="1171"/>
      <c r="L9" s="1171"/>
      <c r="M9" s="1171"/>
      <c r="N9" s="1171"/>
    </row>
    <row r="10" spans="1:17" ht="18">
      <c r="A10" s="455"/>
      <c r="B10" s="1170"/>
      <c r="C10" s="1170"/>
      <c r="D10" s="456" t="s">
        <v>117</v>
      </c>
      <c r="E10" s="457">
        <v>2024</v>
      </c>
      <c r="F10" s="1172" t="s">
        <v>6</v>
      </c>
      <c r="G10" s="1172"/>
      <c r="H10" s="1172" t="s">
        <v>6</v>
      </c>
      <c r="I10" s="1172"/>
      <c r="J10" s="458" t="s">
        <v>6</v>
      </c>
      <c r="K10" s="1172" t="s">
        <v>6</v>
      </c>
      <c r="L10" s="1172"/>
      <c r="M10" s="1173" t="s">
        <v>118</v>
      </c>
      <c r="N10" s="1173" t="s">
        <v>8</v>
      </c>
    </row>
    <row r="11" spans="1:17" ht="45">
      <c r="A11" s="455"/>
      <c r="B11" s="1170"/>
      <c r="C11" s="1170"/>
      <c r="D11" s="458" t="s">
        <v>119</v>
      </c>
      <c r="E11" s="458" t="s">
        <v>10</v>
      </c>
      <c r="F11" s="458" t="s">
        <v>182</v>
      </c>
      <c r="G11" s="458" t="s">
        <v>10</v>
      </c>
      <c r="H11" s="458" t="s">
        <v>183</v>
      </c>
      <c r="I11" s="458" t="s">
        <v>10</v>
      </c>
      <c r="J11" s="458" t="s">
        <v>120</v>
      </c>
      <c r="K11" s="458" t="s">
        <v>12</v>
      </c>
      <c r="L11" s="458" t="s">
        <v>10</v>
      </c>
      <c r="M11" s="1173"/>
      <c r="N11" s="1173"/>
    </row>
    <row r="12" spans="1:17">
      <c r="A12" s="455"/>
      <c r="B12" s="1170"/>
      <c r="C12" s="1170"/>
      <c r="D12" s="459" t="s">
        <v>13</v>
      </c>
      <c r="E12" s="459" t="s">
        <v>14</v>
      </c>
      <c r="F12" s="459" t="s">
        <v>15</v>
      </c>
      <c r="G12" s="459" t="s">
        <v>16</v>
      </c>
      <c r="H12" s="459" t="s">
        <v>17</v>
      </c>
      <c r="I12" s="459" t="s">
        <v>18</v>
      </c>
      <c r="J12" s="459" t="s">
        <v>19</v>
      </c>
      <c r="K12" s="459" t="s">
        <v>20</v>
      </c>
      <c r="L12" s="459" t="s">
        <v>21</v>
      </c>
      <c r="M12" s="459" t="s">
        <v>22</v>
      </c>
      <c r="N12" s="459" t="s">
        <v>23</v>
      </c>
    </row>
    <row r="13" spans="1:17" ht="20.25" customHeight="1">
      <c r="A13" s="455"/>
      <c r="B13" s="1168" t="s">
        <v>32</v>
      </c>
      <c r="C13" s="1168"/>
      <c r="D13" s="460"/>
      <c r="E13" s="460"/>
      <c r="F13" s="460"/>
      <c r="G13" s="460"/>
      <c r="H13" s="460"/>
      <c r="I13" s="460"/>
      <c r="J13" s="460"/>
      <c r="K13" s="460"/>
      <c r="L13" s="460"/>
      <c r="M13" s="460"/>
      <c r="N13" s="460"/>
    </row>
    <row r="14" spans="1:17" ht="20.25" customHeight="1">
      <c r="A14" s="455"/>
      <c r="B14" s="461" t="s">
        <v>25</v>
      </c>
      <c r="C14" s="462" t="s">
        <v>26</v>
      </c>
      <c r="D14" s="460"/>
      <c r="E14" s="460"/>
      <c r="F14" s="460"/>
      <c r="G14" s="460"/>
      <c r="H14" s="460"/>
      <c r="I14" s="460"/>
      <c r="J14" s="460"/>
      <c r="K14" s="460"/>
      <c r="L14" s="460"/>
      <c r="M14" s="460"/>
      <c r="N14" s="460"/>
      <c r="O14" s="463"/>
      <c r="P14" s="464"/>
      <c r="Q14" s="463"/>
    </row>
    <row r="15" spans="1:17" ht="20.25" customHeight="1">
      <c r="A15" s="455"/>
      <c r="B15" s="465" t="s">
        <v>34</v>
      </c>
      <c r="C15" s="466" t="s">
        <v>35</v>
      </c>
      <c r="D15" s="467">
        <v>584137730</v>
      </c>
      <c r="E15" s="468">
        <v>100</v>
      </c>
      <c r="F15" s="467">
        <v>510836000</v>
      </c>
      <c r="G15" s="669"/>
      <c r="H15" s="467">
        <f>702836000</f>
        <v>702836000</v>
      </c>
      <c r="I15" s="468">
        <f>(H15/F15)*100</f>
        <v>137.58544816731788</v>
      </c>
      <c r="J15" s="467">
        <f>H15-F15</f>
        <v>192000000</v>
      </c>
      <c r="K15" s="467">
        <v>695375308</v>
      </c>
      <c r="L15" s="469">
        <f>(K15/H15)*100</f>
        <v>98.938487499217459</v>
      </c>
      <c r="M15" s="467">
        <f>H15-K15</f>
        <v>7460692</v>
      </c>
      <c r="N15" s="469">
        <f>(K15/H15)*100</f>
        <v>98.938487499217459</v>
      </c>
      <c r="O15" s="470"/>
      <c r="P15" s="471"/>
      <c r="Q15" s="463"/>
    </row>
    <row r="16" spans="1:17" ht="20.25" customHeight="1">
      <c r="A16" s="455"/>
      <c r="B16" s="465" t="s">
        <v>36</v>
      </c>
      <c r="C16" s="466" t="s">
        <v>37</v>
      </c>
      <c r="D16" s="467">
        <v>96245744</v>
      </c>
      <c r="E16" s="468">
        <v>99.2</v>
      </c>
      <c r="F16" s="467">
        <v>95000000</v>
      </c>
      <c r="G16" s="468"/>
      <c r="H16" s="467">
        <v>117000000</v>
      </c>
      <c r="I16" s="468">
        <f t="shared" ref="I16:I30" si="0">(H16/F16)*100</f>
        <v>123.15789473684211</v>
      </c>
      <c r="J16" s="467">
        <f t="shared" ref="J16:J21" si="1">H16-F16</f>
        <v>22000000</v>
      </c>
      <c r="K16" s="467">
        <v>114015591</v>
      </c>
      <c r="L16" s="469">
        <f t="shared" ref="L16:L30" si="2">(K16/H16)*100</f>
        <v>97.449223076923076</v>
      </c>
      <c r="M16" s="467">
        <f t="shared" ref="M16:M24" si="3">H16-K16</f>
        <v>2984409</v>
      </c>
      <c r="N16" s="469">
        <f>(K16/H16)*100</f>
        <v>97.449223076923076</v>
      </c>
      <c r="O16" s="463"/>
      <c r="P16" s="471"/>
      <c r="Q16" s="463"/>
    </row>
    <row r="17" spans="1:17" ht="20.25" customHeight="1">
      <c r="A17" s="455"/>
      <c r="B17" s="465" t="s">
        <v>38</v>
      </c>
      <c r="C17" s="466" t="s">
        <v>39</v>
      </c>
      <c r="D17" s="467">
        <v>881452251</v>
      </c>
      <c r="E17" s="468">
        <v>99.2</v>
      </c>
      <c r="F17" s="467">
        <v>798164000</v>
      </c>
      <c r="G17" s="468"/>
      <c r="H17" s="467">
        <v>898164000</v>
      </c>
      <c r="I17" s="468">
        <f t="shared" si="0"/>
        <v>112.52875348925784</v>
      </c>
      <c r="J17" s="467">
        <f t="shared" si="1"/>
        <v>100000000</v>
      </c>
      <c r="K17" s="467">
        <v>895915200</v>
      </c>
      <c r="L17" s="469">
        <f t="shared" si="2"/>
        <v>99.749622563362593</v>
      </c>
      <c r="M17" s="467">
        <f t="shared" si="3"/>
        <v>2248800</v>
      </c>
      <c r="N17" s="469">
        <f>(K17/H17)*100</f>
        <v>99.749622563362593</v>
      </c>
      <c r="O17" s="470"/>
      <c r="P17" s="471"/>
      <c r="Q17" s="463"/>
    </row>
    <row r="18" spans="1:17" ht="20.25" customHeight="1">
      <c r="A18" s="455"/>
      <c r="B18" s="465" t="s">
        <v>40</v>
      </c>
      <c r="C18" s="466" t="s">
        <v>41</v>
      </c>
      <c r="D18" s="467">
        <v>0</v>
      </c>
      <c r="E18" s="468">
        <v>0</v>
      </c>
      <c r="F18" s="467">
        <v>0</v>
      </c>
      <c r="G18" s="468"/>
      <c r="H18" s="467">
        <v>0</v>
      </c>
      <c r="I18" s="468"/>
      <c r="J18" s="467">
        <f t="shared" si="1"/>
        <v>0</v>
      </c>
      <c r="K18" s="467">
        <v>0</v>
      </c>
      <c r="L18" s="469"/>
      <c r="M18" s="467">
        <f t="shared" si="3"/>
        <v>0</v>
      </c>
      <c r="N18" s="469"/>
      <c r="O18" s="463"/>
      <c r="P18" s="470"/>
      <c r="Q18" s="463"/>
    </row>
    <row r="19" spans="1:17" ht="20.25" customHeight="1">
      <c r="A19" s="455"/>
      <c r="B19" s="465" t="s">
        <v>42</v>
      </c>
      <c r="C19" s="466" t="s">
        <v>43</v>
      </c>
      <c r="D19" s="467">
        <v>0</v>
      </c>
      <c r="E19" s="468">
        <v>0</v>
      </c>
      <c r="F19" s="467">
        <v>0</v>
      </c>
      <c r="G19" s="468"/>
      <c r="H19" s="467">
        <v>0</v>
      </c>
      <c r="I19" s="468"/>
      <c r="J19" s="467">
        <f t="shared" si="1"/>
        <v>0</v>
      </c>
      <c r="K19" s="467">
        <v>0</v>
      </c>
      <c r="L19" s="469"/>
      <c r="M19" s="467">
        <f t="shared" si="3"/>
        <v>0</v>
      </c>
      <c r="N19" s="469"/>
      <c r="O19" s="463"/>
      <c r="P19" s="463"/>
      <c r="Q19" s="463"/>
    </row>
    <row r="20" spans="1:17" ht="20.25" customHeight="1">
      <c r="A20" s="455"/>
      <c r="B20" s="465" t="s">
        <v>44</v>
      </c>
      <c r="C20" s="466" t="s">
        <v>45</v>
      </c>
      <c r="D20" s="467">
        <v>0</v>
      </c>
      <c r="E20" s="468">
        <v>0</v>
      </c>
      <c r="F20" s="467">
        <v>0</v>
      </c>
      <c r="G20" s="468"/>
      <c r="H20" s="467">
        <v>0</v>
      </c>
      <c r="I20" s="468"/>
      <c r="J20" s="467">
        <f t="shared" si="1"/>
        <v>0</v>
      </c>
      <c r="K20" s="467">
        <v>0</v>
      </c>
      <c r="L20" s="469"/>
      <c r="M20" s="467">
        <f t="shared" si="3"/>
        <v>0</v>
      </c>
      <c r="N20" s="469"/>
      <c r="O20" s="463"/>
      <c r="P20" s="463"/>
      <c r="Q20" s="463"/>
    </row>
    <row r="21" spans="1:17" ht="20.25" customHeight="1">
      <c r="A21" s="455"/>
      <c r="B21" s="465" t="s">
        <v>46</v>
      </c>
      <c r="C21" s="466" t="s">
        <v>47</v>
      </c>
      <c r="D21" s="467">
        <v>4138197</v>
      </c>
      <c r="E21" s="468">
        <v>93.5</v>
      </c>
      <c r="F21" s="467">
        <v>2000000</v>
      </c>
      <c r="G21" s="468"/>
      <c r="H21" s="467">
        <v>4439960</v>
      </c>
      <c r="I21" s="468">
        <f t="shared" si="0"/>
        <v>221.99800000000002</v>
      </c>
      <c r="J21" s="467">
        <f t="shared" si="1"/>
        <v>2439960</v>
      </c>
      <c r="K21" s="467">
        <v>4406131</v>
      </c>
      <c r="L21" s="469">
        <f t="shared" si="2"/>
        <v>99.238078721429929</v>
      </c>
      <c r="M21" s="467">
        <f t="shared" si="3"/>
        <v>33829</v>
      </c>
      <c r="N21" s="469">
        <f>(K21/H21)*100</f>
        <v>99.238078721429929</v>
      </c>
    </row>
    <row r="22" spans="1:17" ht="20.25" customHeight="1">
      <c r="A22" s="455"/>
      <c r="B22" s="459"/>
      <c r="C22" s="472" t="s">
        <v>121</v>
      </c>
      <c r="D22" s="473">
        <v>1565973922</v>
      </c>
      <c r="E22" s="474">
        <v>99.5</v>
      </c>
      <c r="F22" s="473">
        <v>1406000000</v>
      </c>
      <c r="G22" s="474"/>
      <c r="H22" s="473">
        <f>SUM(H15:H21)</f>
        <v>1722439960</v>
      </c>
      <c r="I22" s="468">
        <f t="shared" si="0"/>
        <v>122.50639829302987</v>
      </c>
      <c r="J22" s="473">
        <f>SUM(J15:J21)</f>
        <v>316439960</v>
      </c>
      <c r="K22" s="473">
        <f>SUM(K15:K21)</f>
        <v>1709712230</v>
      </c>
      <c r="L22" s="469">
        <f t="shared" si="2"/>
        <v>99.261063938623437</v>
      </c>
      <c r="M22" s="473">
        <f>SUM(M15:M21)</f>
        <v>12727730</v>
      </c>
      <c r="N22" s="469">
        <f>(K22/H22)*100</f>
        <v>99.261063938623437</v>
      </c>
      <c r="P22" s="475"/>
    </row>
    <row r="23" spans="1:17" ht="20.25" customHeight="1">
      <c r="A23" s="455"/>
      <c r="B23" s="465" t="s">
        <v>49</v>
      </c>
      <c r="C23" s="466" t="s">
        <v>50</v>
      </c>
      <c r="D23" s="467">
        <v>0</v>
      </c>
      <c r="E23" s="468">
        <v>0</v>
      </c>
      <c r="F23" s="467">
        <v>0</v>
      </c>
      <c r="G23" s="468"/>
      <c r="H23" s="467">
        <v>0</v>
      </c>
      <c r="I23" s="468"/>
      <c r="J23" s="467">
        <v>0</v>
      </c>
      <c r="K23" s="467">
        <v>0</v>
      </c>
      <c r="L23" s="469"/>
      <c r="M23" s="467">
        <f t="shared" si="3"/>
        <v>0</v>
      </c>
      <c r="N23" s="469"/>
    </row>
    <row r="24" spans="1:17" ht="20.25" customHeight="1">
      <c r="A24" s="455"/>
      <c r="B24" s="465" t="s">
        <v>51</v>
      </c>
      <c r="C24" s="466" t="s">
        <v>52</v>
      </c>
      <c r="D24" s="467">
        <v>339449096</v>
      </c>
      <c r="E24" s="468">
        <v>91.7</v>
      </c>
      <c r="F24" s="467">
        <v>500000000</v>
      </c>
      <c r="G24" s="468"/>
      <c r="H24" s="467">
        <v>197000000</v>
      </c>
      <c r="I24" s="468">
        <f t="shared" si="0"/>
        <v>39.4</v>
      </c>
      <c r="J24" s="467">
        <f>H24-F24</f>
        <v>-303000000</v>
      </c>
      <c r="K24" s="467">
        <v>193284800</v>
      </c>
      <c r="L24" s="469">
        <f t="shared" si="2"/>
        <v>98.114111675126907</v>
      </c>
      <c r="M24" s="467">
        <f t="shared" si="3"/>
        <v>3715200</v>
      </c>
      <c r="N24" s="469">
        <f>(K24/H24)*100</f>
        <v>98.114111675126907</v>
      </c>
    </row>
    <row r="25" spans="1:17" ht="20.25" customHeight="1">
      <c r="A25" s="455"/>
      <c r="B25" s="459"/>
      <c r="C25" s="476" t="s">
        <v>122</v>
      </c>
      <c r="D25" s="473">
        <v>339449096</v>
      </c>
      <c r="E25" s="474">
        <v>91.7</v>
      </c>
      <c r="F25" s="473">
        <v>500000000</v>
      </c>
      <c r="G25" s="474"/>
      <c r="H25" s="473">
        <f>H23+H24</f>
        <v>197000000</v>
      </c>
      <c r="I25" s="468">
        <f t="shared" si="0"/>
        <v>39.4</v>
      </c>
      <c r="J25" s="473">
        <f>J23+J24</f>
        <v>-303000000</v>
      </c>
      <c r="K25" s="473">
        <f>K23+K24</f>
        <v>193284800</v>
      </c>
      <c r="L25" s="469">
        <f t="shared" si="2"/>
        <v>98.114111675126907</v>
      </c>
      <c r="M25" s="473">
        <f>M23+M24</f>
        <v>3715200</v>
      </c>
      <c r="N25" s="469">
        <f>(K25/H25)*100</f>
        <v>98.114111675126907</v>
      </c>
    </row>
    <row r="26" spans="1:17" ht="20.25" customHeight="1">
      <c r="A26" s="455"/>
      <c r="B26" s="465" t="s">
        <v>49</v>
      </c>
      <c r="C26" s="466" t="s">
        <v>50</v>
      </c>
      <c r="D26" s="467">
        <v>0</v>
      </c>
      <c r="E26" s="468">
        <v>0</v>
      </c>
      <c r="F26" s="467">
        <v>0</v>
      </c>
      <c r="G26" s="468"/>
      <c r="H26" s="467">
        <v>0</v>
      </c>
      <c r="I26" s="468"/>
      <c r="J26" s="467">
        <v>0</v>
      </c>
      <c r="K26" s="467">
        <v>0</v>
      </c>
      <c r="L26" s="469"/>
      <c r="M26" s="467">
        <v>0</v>
      </c>
      <c r="N26" s="469"/>
    </row>
    <row r="27" spans="1:17" ht="20.25" customHeight="1">
      <c r="A27" s="455"/>
      <c r="B27" s="465" t="s">
        <v>51</v>
      </c>
      <c r="C27" s="466" t="s">
        <v>52</v>
      </c>
      <c r="D27" s="467">
        <v>0</v>
      </c>
      <c r="E27" s="468">
        <v>0</v>
      </c>
      <c r="F27" s="467">
        <v>0</v>
      </c>
      <c r="G27" s="468"/>
      <c r="H27" s="467">
        <v>0</v>
      </c>
      <c r="I27" s="468"/>
      <c r="J27" s="467">
        <v>0</v>
      </c>
      <c r="K27" s="467">
        <v>0</v>
      </c>
      <c r="L27" s="469"/>
      <c r="M27" s="467">
        <v>0</v>
      </c>
      <c r="N27" s="469"/>
    </row>
    <row r="28" spans="1:17" ht="20.25" customHeight="1">
      <c r="A28" s="455"/>
      <c r="B28" s="459"/>
      <c r="C28" s="476" t="s">
        <v>123</v>
      </c>
      <c r="D28" s="473">
        <v>0</v>
      </c>
      <c r="E28" s="474">
        <v>0</v>
      </c>
      <c r="F28" s="473">
        <v>0</v>
      </c>
      <c r="G28" s="474"/>
      <c r="H28" s="473">
        <v>0</v>
      </c>
      <c r="I28" s="468"/>
      <c r="J28" s="473">
        <v>0</v>
      </c>
      <c r="K28" s="473">
        <v>0</v>
      </c>
      <c r="L28" s="469"/>
      <c r="M28" s="473">
        <v>0</v>
      </c>
      <c r="N28" s="469"/>
    </row>
    <row r="29" spans="1:17" ht="20.25" customHeight="1">
      <c r="A29" s="455"/>
      <c r="B29" s="459"/>
      <c r="C29" s="472" t="s">
        <v>124</v>
      </c>
      <c r="D29" s="473">
        <v>339449096</v>
      </c>
      <c r="E29" s="474">
        <v>91.7</v>
      </c>
      <c r="F29" s="473">
        <v>500000000</v>
      </c>
      <c r="G29" s="474"/>
      <c r="H29" s="473">
        <f>H25+H28</f>
        <v>197000000</v>
      </c>
      <c r="I29" s="468">
        <f t="shared" si="0"/>
        <v>39.4</v>
      </c>
      <c r="J29" s="473">
        <f>J25+J28</f>
        <v>-303000000</v>
      </c>
      <c r="K29" s="473">
        <f>K25+K28</f>
        <v>193284800</v>
      </c>
      <c r="L29" s="469">
        <f t="shared" si="2"/>
        <v>98.114111675126907</v>
      </c>
      <c r="M29" s="473">
        <f>M25+M28</f>
        <v>3715200</v>
      </c>
      <c r="N29" s="469">
        <f>(K29/H29)*100</f>
        <v>98.114111675126907</v>
      </c>
    </row>
    <row r="30" spans="1:17" ht="20.25" customHeight="1">
      <c r="A30" s="455"/>
      <c r="B30" s="459"/>
      <c r="C30" s="476" t="s">
        <v>125</v>
      </c>
      <c r="D30" s="473">
        <v>1905423018</v>
      </c>
      <c r="E30" s="474">
        <v>98</v>
      </c>
      <c r="F30" s="473">
        <v>1906000000</v>
      </c>
      <c r="G30" s="474"/>
      <c r="H30" s="473">
        <f>H22+H25</f>
        <v>1919439960</v>
      </c>
      <c r="I30" s="468">
        <f t="shared" si="0"/>
        <v>100.70513955928647</v>
      </c>
      <c r="J30" s="473">
        <f>J22+J25</f>
        <v>13439960</v>
      </c>
      <c r="K30" s="473">
        <f>K29+K22</f>
        <v>1902997030</v>
      </c>
      <c r="L30" s="469">
        <f t="shared" si="2"/>
        <v>99.143347521013368</v>
      </c>
      <c r="M30" s="473">
        <f>M29+M22</f>
        <v>16442930</v>
      </c>
      <c r="N30" s="469">
        <f>(K30/H30)*100</f>
        <v>99.143347521013368</v>
      </c>
    </row>
    <row r="31" spans="1:17" ht="20.25" customHeight="1">
      <c r="A31" s="455"/>
      <c r="B31" s="459"/>
      <c r="C31" s="476" t="s">
        <v>126</v>
      </c>
      <c r="D31" s="473">
        <v>8459630</v>
      </c>
      <c r="E31" s="474"/>
      <c r="F31" s="473"/>
      <c r="G31" s="474"/>
      <c r="H31" s="473"/>
      <c r="I31" s="474"/>
      <c r="J31" s="473"/>
      <c r="K31" s="473">
        <f>5519195+2397120</f>
        <v>7916315</v>
      </c>
      <c r="L31" s="473"/>
      <c r="M31" s="473"/>
      <c r="N31" s="469"/>
    </row>
    <row r="32" spans="1:17" ht="20.25" customHeight="1">
      <c r="A32" s="455"/>
      <c r="B32" s="459"/>
      <c r="C32" s="476" t="s">
        <v>127</v>
      </c>
      <c r="D32" s="473">
        <v>3282015</v>
      </c>
      <c r="E32" s="474"/>
      <c r="F32" s="473"/>
      <c r="G32" s="474"/>
      <c r="H32" s="473"/>
      <c r="I32" s="474"/>
      <c r="J32" s="473"/>
      <c r="K32" s="473">
        <v>1209600</v>
      </c>
      <c r="L32" s="473"/>
      <c r="M32" s="473"/>
      <c r="N32" s="469"/>
    </row>
    <row r="33" spans="1:16" ht="20.25" customHeight="1">
      <c r="A33" s="455"/>
      <c r="B33" s="459"/>
      <c r="C33" s="472" t="s">
        <v>128</v>
      </c>
      <c r="D33" s="473">
        <v>1917164663</v>
      </c>
      <c r="E33" s="474"/>
      <c r="F33" s="473"/>
      <c r="G33" s="474"/>
      <c r="H33" s="473"/>
      <c r="I33" s="474"/>
      <c r="J33" s="473"/>
      <c r="K33" s="473">
        <f>K30+K31+K32</f>
        <v>1912122945</v>
      </c>
      <c r="L33" s="473"/>
      <c r="M33" s="473"/>
      <c r="N33" s="469"/>
    </row>
    <row r="34" spans="1:16" ht="20.25" customHeight="1">
      <c r="A34" s="455"/>
      <c r="B34" s="1169" t="s">
        <v>129</v>
      </c>
      <c r="C34" s="1169"/>
      <c r="D34" s="477"/>
      <c r="E34" s="478"/>
      <c r="F34" s="477"/>
      <c r="G34" s="478"/>
      <c r="H34" s="477"/>
      <c r="I34" s="478"/>
      <c r="J34" s="460"/>
      <c r="K34" s="477"/>
      <c r="L34" s="460"/>
      <c r="M34" s="460"/>
      <c r="N34" s="469"/>
    </row>
    <row r="35" spans="1:16" ht="20.25" customHeight="1">
      <c r="A35" s="455"/>
      <c r="B35" s="462" t="s">
        <v>33</v>
      </c>
      <c r="C35" s="462" t="s">
        <v>26</v>
      </c>
      <c r="D35" s="477"/>
      <c r="E35" s="478"/>
      <c r="F35" s="477"/>
      <c r="G35" s="478"/>
      <c r="H35" s="477"/>
      <c r="I35" s="478"/>
      <c r="J35" s="460"/>
      <c r="K35" s="477"/>
      <c r="L35" s="460"/>
      <c r="M35" s="460"/>
      <c r="N35" s="469"/>
    </row>
    <row r="36" spans="1:16" ht="20.25" customHeight="1">
      <c r="A36" s="455"/>
      <c r="B36" s="465"/>
      <c r="C36" s="476" t="s">
        <v>130</v>
      </c>
      <c r="D36" s="473">
        <f>D22</f>
        <v>1565973922</v>
      </c>
      <c r="E36" s="474">
        <v>99.5</v>
      </c>
      <c r="F36" s="473">
        <f>F22</f>
        <v>1406000000</v>
      </c>
      <c r="G36" s="474"/>
      <c r="H36" s="473">
        <f>H22</f>
        <v>1722439960</v>
      </c>
      <c r="I36" s="468">
        <f>(H36/F36)*100</f>
        <v>122.50639829302987</v>
      </c>
      <c r="J36" s="479">
        <f>J22</f>
        <v>316439960</v>
      </c>
      <c r="K36" s="473">
        <f>K22</f>
        <v>1709712230</v>
      </c>
      <c r="L36" s="469">
        <f>(K36/H36)*100</f>
        <v>99.261063938623437</v>
      </c>
      <c r="M36" s="473">
        <f>M22</f>
        <v>12727730</v>
      </c>
      <c r="N36" s="469">
        <f>(K36/H36)*100</f>
        <v>99.261063938623437</v>
      </c>
    </row>
    <row r="37" spans="1:16" ht="20.25" customHeight="1">
      <c r="A37" s="455"/>
      <c r="B37" s="465" t="s">
        <v>131</v>
      </c>
      <c r="C37" s="480" t="s">
        <v>132</v>
      </c>
      <c r="D37" s="467"/>
      <c r="E37" s="468"/>
      <c r="F37" s="467"/>
      <c r="G37" s="468"/>
      <c r="H37" s="467"/>
      <c r="I37" s="468"/>
      <c r="J37" s="467"/>
      <c r="K37" s="467"/>
      <c r="L37" s="467"/>
      <c r="M37" s="467"/>
      <c r="N37" s="469"/>
    </row>
    <row r="38" spans="1:16" ht="20.25" customHeight="1">
      <c r="A38" s="455"/>
      <c r="B38" s="465" t="s">
        <v>430</v>
      </c>
      <c r="C38" s="480" t="s">
        <v>431</v>
      </c>
      <c r="D38" s="467">
        <v>1565973922</v>
      </c>
      <c r="E38" s="468">
        <v>99.5</v>
      </c>
      <c r="F38" s="467">
        <v>1406000000</v>
      </c>
      <c r="G38" s="468"/>
      <c r="H38" s="467">
        <f>H36</f>
        <v>1722439960</v>
      </c>
      <c r="I38" s="468">
        <f>(H38/F38)*100</f>
        <v>122.50639829302987</v>
      </c>
      <c r="J38" s="467">
        <f>J36</f>
        <v>316439960</v>
      </c>
      <c r="K38" s="467">
        <f>K36</f>
        <v>1709712230</v>
      </c>
      <c r="L38" s="469">
        <f>(K38/H38)*100</f>
        <v>99.261063938623437</v>
      </c>
      <c r="M38" s="467">
        <f>M36</f>
        <v>12727730</v>
      </c>
      <c r="N38" s="469">
        <f>(K38/H38)*100</f>
        <v>99.261063938623437</v>
      </c>
    </row>
    <row r="39" spans="1:16" ht="20.25" customHeight="1">
      <c r="A39" s="455"/>
      <c r="B39" s="465"/>
      <c r="C39" s="476" t="s">
        <v>133</v>
      </c>
      <c r="D39" s="473">
        <f>D29</f>
        <v>339449096</v>
      </c>
      <c r="E39" s="474">
        <v>91.7</v>
      </c>
      <c r="F39" s="473">
        <f>F29</f>
        <v>500000000</v>
      </c>
      <c r="G39" s="474"/>
      <c r="H39" s="473">
        <f>H29</f>
        <v>197000000</v>
      </c>
      <c r="I39" s="468">
        <f>(H39/F39)*100</f>
        <v>39.4</v>
      </c>
      <c r="J39" s="473">
        <v>0</v>
      </c>
      <c r="K39" s="473">
        <f>K29</f>
        <v>193284800</v>
      </c>
      <c r="L39" s="469">
        <f>(K39/H39)*100</f>
        <v>98.114111675126907</v>
      </c>
      <c r="M39" s="473">
        <f>M29</f>
        <v>3715200</v>
      </c>
      <c r="N39" s="469">
        <f>(K39/H39)*100</f>
        <v>98.114111675126907</v>
      </c>
    </row>
    <row r="40" spans="1:16" ht="20.25" customHeight="1">
      <c r="A40" s="455"/>
      <c r="B40" s="465" t="s">
        <v>131</v>
      </c>
      <c r="C40" s="480" t="s">
        <v>132</v>
      </c>
      <c r="D40" s="467"/>
      <c r="E40" s="468"/>
      <c r="F40" s="467"/>
      <c r="G40" s="468"/>
      <c r="H40" s="467"/>
      <c r="I40" s="468"/>
      <c r="J40" s="467"/>
      <c r="K40" s="467"/>
      <c r="L40" s="467"/>
      <c r="M40" s="467"/>
      <c r="N40" s="469"/>
    </row>
    <row r="41" spans="1:16" ht="20.25" customHeight="1">
      <c r="A41" s="455"/>
      <c r="B41" s="465" t="s">
        <v>432</v>
      </c>
      <c r="C41" s="480" t="s">
        <v>433</v>
      </c>
      <c r="D41" s="467">
        <v>10550000</v>
      </c>
      <c r="E41" s="468">
        <v>100</v>
      </c>
      <c r="F41" s="467">
        <v>460000000</v>
      </c>
      <c r="G41" s="468"/>
      <c r="H41" s="467">
        <f>197000000-H42</f>
        <v>137000000</v>
      </c>
      <c r="I41" s="468">
        <f>(H41/F41)*100</f>
        <v>29.782608695652176</v>
      </c>
      <c r="J41" s="467">
        <v>0</v>
      </c>
      <c r="K41" s="481">
        <f>36170081+98094879+2735040</f>
        <v>137000000</v>
      </c>
      <c r="L41" s="469">
        <f>(K41/H41)*100</f>
        <v>100</v>
      </c>
      <c r="M41" s="467">
        <f>H41-K41</f>
        <v>0</v>
      </c>
      <c r="N41" s="469">
        <f>(K41/H41)*100</f>
        <v>100</v>
      </c>
    </row>
    <row r="42" spans="1:16" ht="20.25" customHeight="1">
      <c r="A42" s="455"/>
      <c r="B42" s="465" t="s">
        <v>434</v>
      </c>
      <c r="C42" s="480" t="s">
        <v>435</v>
      </c>
      <c r="D42" s="467">
        <v>328899096</v>
      </c>
      <c r="E42" s="468">
        <v>91.5</v>
      </c>
      <c r="F42" s="467">
        <v>40000000</v>
      </c>
      <c r="G42" s="468"/>
      <c r="H42" s="482">
        <f>40000000+20000000</f>
        <v>60000000</v>
      </c>
      <c r="I42" s="468">
        <f>(H42/F42)*100</f>
        <v>150</v>
      </c>
      <c r="J42" s="467">
        <v>0</v>
      </c>
      <c r="K42" s="467">
        <v>56284800</v>
      </c>
      <c r="L42" s="469">
        <f>(K42/H42)*100</f>
        <v>93.808000000000007</v>
      </c>
      <c r="M42" s="467">
        <f>H42-K42</f>
        <v>3715200</v>
      </c>
      <c r="N42" s="469">
        <f>(K42/H42)*100</f>
        <v>93.808000000000007</v>
      </c>
    </row>
    <row r="43" spans="1:16" ht="20.25" customHeight="1">
      <c r="A43" s="455"/>
      <c r="B43" s="465"/>
      <c r="C43" s="476" t="s">
        <v>122</v>
      </c>
      <c r="D43" s="473">
        <f>D41+D42</f>
        <v>339449096</v>
      </c>
      <c r="E43" s="474">
        <v>91.7</v>
      </c>
      <c r="F43" s="473">
        <f>F41+F42</f>
        <v>500000000</v>
      </c>
      <c r="G43" s="474"/>
      <c r="H43" s="473">
        <f>H41+H42</f>
        <v>197000000</v>
      </c>
      <c r="I43" s="468">
        <f>(H43/F43)*100</f>
        <v>39.4</v>
      </c>
      <c r="J43" s="473">
        <v>0</v>
      </c>
      <c r="K43" s="473">
        <f>K41+K42</f>
        <v>193284800</v>
      </c>
      <c r="L43" s="469">
        <f>(K43/H43)*100</f>
        <v>98.114111675126907</v>
      </c>
      <c r="M43" s="473">
        <f>M41+M42</f>
        <v>3715200</v>
      </c>
      <c r="N43" s="469">
        <f>(K43/H43)*100</f>
        <v>98.114111675126907</v>
      </c>
    </row>
    <row r="44" spans="1:16" ht="20.25" customHeight="1">
      <c r="A44" s="455"/>
      <c r="B44" s="465" t="s">
        <v>131</v>
      </c>
      <c r="C44" s="480" t="s">
        <v>132</v>
      </c>
      <c r="D44" s="467"/>
      <c r="E44" s="468"/>
      <c r="F44" s="467"/>
      <c r="G44" s="468"/>
      <c r="H44" s="467"/>
      <c r="I44" s="468"/>
      <c r="J44" s="467"/>
      <c r="K44" s="467"/>
      <c r="L44" s="467"/>
      <c r="M44" s="467"/>
      <c r="N44" s="467"/>
    </row>
    <row r="45" spans="1:16" ht="20.25" customHeight="1">
      <c r="A45" s="455"/>
      <c r="B45" s="465"/>
      <c r="C45" s="476" t="s">
        <v>123</v>
      </c>
      <c r="D45" s="473">
        <v>0</v>
      </c>
      <c r="E45" s="474">
        <v>0</v>
      </c>
      <c r="F45" s="473">
        <v>0</v>
      </c>
      <c r="G45" s="474"/>
      <c r="H45" s="473">
        <v>0</v>
      </c>
      <c r="I45" s="474"/>
      <c r="J45" s="473">
        <v>0</v>
      </c>
      <c r="K45" s="473">
        <v>0</v>
      </c>
      <c r="L45" s="473"/>
      <c r="M45" s="473">
        <v>0</v>
      </c>
      <c r="N45" s="473">
        <v>0</v>
      </c>
    </row>
    <row r="46" spans="1:16" ht="27.75" customHeight="1">
      <c r="A46" s="455"/>
      <c r="B46" s="465"/>
      <c r="C46" s="476" t="s">
        <v>135</v>
      </c>
      <c r="D46" s="473">
        <v>11741645</v>
      </c>
      <c r="E46" s="474">
        <v>100</v>
      </c>
      <c r="F46" s="473"/>
      <c r="G46" s="474"/>
      <c r="H46" s="473"/>
      <c r="I46" s="474"/>
      <c r="J46" s="473"/>
      <c r="K46" s="473">
        <f>K47+K50</f>
        <v>9125915</v>
      </c>
      <c r="L46" s="473"/>
      <c r="M46" s="473"/>
      <c r="N46" s="473"/>
    </row>
    <row r="47" spans="1:16" ht="20.25" customHeight="1">
      <c r="A47" s="455"/>
      <c r="B47" s="465"/>
      <c r="C47" s="476" t="s">
        <v>136</v>
      </c>
      <c r="D47" s="473">
        <v>8459630</v>
      </c>
      <c r="E47" s="474">
        <v>72</v>
      </c>
      <c r="F47" s="473"/>
      <c r="G47" s="474"/>
      <c r="H47" s="473"/>
      <c r="I47" s="474"/>
      <c r="J47" s="473"/>
      <c r="K47" s="473">
        <f>K31</f>
        <v>7916315</v>
      </c>
      <c r="L47" s="473"/>
      <c r="M47" s="473"/>
      <c r="N47" s="473"/>
      <c r="P47" s="475"/>
    </row>
    <row r="48" spans="1:16" ht="20.25" customHeight="1">
      <c r="A48" s="455"/>
      <c r="B48" s="465" t="s">
        <v>131</v>
      </c>
      <c r="C48" s="480" t="s">
        <v>132</v>
      </c>
      <c r="D48" s="467"/>
      <c r="E48" s="468"/>
      <c r="F48" s="467"/>
      <c r="G48" s="468"/>
      <c r="H48" s="467"/>
      <c r="I48" s="468"/>
      <c r="J48" s="467"/>
      <c r="K48" s="467"/>
      <c r="L48" s="467"/>
      <c r="M48" s="467"/>
      <c r="N48" s="467"/>
    </row>
    <row r="49" spans="1:14" ht="20.25" customHeight="1">
      <c r="A49" s="455"/>
      <c r="B49" s="465" t="s">
        <v>430</v>
      </c>
      <c r="C49" s="480" t="s">
        <v>431</v>
      </c>
      <c r="D49" s="467">
        <v>8459630</v>
      </c>
      <c r="E49" s="468">
        <v>72</v>
      </c>
      <c r="F49" s="467"/>
      <c r="G49" s="468"/>
      <c r="H49" s="467"/>
      <c r="I49" s="468"/>
      <c r="J49" s="467"/>
      <c r="K49" s="467">
        <f>K31</f>
        <v>7916315</v>
      </c>
      <c r="L49" s="467"/>
      <c r="M49" s="467"/>
      <c r="N49" s="467"/>
    </row>
    <row r="50" spans="1:14" ht="20.25" customHeight="1">
      <c r="A50" s="455"/>
      <c r="B50" s="465"/>
      <c r="C50" s="476" t="s">
        <v>137</v>
      </c>
      <c r="D50" s="473">
        <v>3282015</v>
      </c>
      <c r="E50" s="474">
        <v>28</v>
      </c>
      <c r="F50" s="473"/>
      <c r="G50" s="474"/>
      <c r="H50" s="473"/>
      <c r="I50" s="474"/>
      <c r="J50" s="473"/>
      <c r="K50" s="473">
        <f>K32</f>
        <v>1209600</v>
      </c>
      <c r="L50" s="473"/>
      <c r="M50" s="473"/>
      <c r="N50" s="473"/>
    </row>
    <row r="51" spans="1:14" ht="20.25" customHeight="1">
      <c r="A51" s="455"/>
      <c r="B51" s="465" t="s">
        <v>131</v>
      </c>
      <c r="C51" s="480" t="s">
        <v>132</v>
      </c>
      <c r="D51" s="467"/>
      <c r="E51" s="468"/>
      <c r="F51" s="467"/>
      <c r="G51" s="468"/>
      <c r="H51" s="467"/>
      <c r="I51" s="468"/>
      <c r="J51" s="467"/>
      <c r="K51" s="467"/>
      <c r="L51" s="467"/>
      <c r="M51" s="467"/>
      <c r="N51" s="467"/>
    </row>
    <row r="52" spans="1:14" ht="20.25" customHeight="1">
      <c r="A52" s="455"/>
      <c r="B52" s="465" t="s">
        <v>436</v>
      </c>
      <c r="C52" s="480" t="s">
        <v>437</v>
      </c>
      <c r="D52" s="467">
        <v>199315</v>
      </c>
      <c r="E52" s="468">
        <v>1.7</v>
      </c>
      <c r="F52" s="467"/>
      <c r="G52" s="468"/>
      <c r="H52" s="467"/>
      <c r="I52" s="468"/>
      <c r="J52" s="467"/>
      <c r="K52" s="473">
        <v>1209600</v>
      </c>
      <c r="L52" s="467"/>
      <c r="M52" s="467"/>
      <c r="N52" s="467"/>
    </row>
    <row r="53" spans="1:14" ht="20.25" customHeight="1">
      <c r="A53" s="455"/>
      <c r="B53" s="465" t="s">
        <v>363</v>
      </c>
      <c r="C53" s="480" t="s">
        <v>364</v>
      </c>
      <c r="D53" s="467">
        <v>3082700</v>
      </c>
      <c r="E53" s="468">
        <v>26.3</v>
      </c>
      <c r="F53" s="467"/>
      <c r="G53" s="468"/>
      <c r="H53" s="467"/>
      <c r="I53" s="468"/>
      <c r="J53" s="467"/>
      <c r="K53" s="473">
        <v>0</v>
      </c>
      <c r="L53" s="467"/>
      <c r="M53" s="467"/>
      <c r="N53" s="467"/>
    </row>
    <row r="54" spans="1:14" ht="20.25" customHeight="1">
      <c r="A54" s="455"/>
      <c r="B54" s="465"/>
      <c r="C54" s="476" t="s">
        <v>128</v>
      </c>
      <c r="D54" s="473">
        <v>1917164663</v>
      </c>
      <c r="E54" s="473"/>
      <c r="F54" s="473">
        <v>1906000000</v>
      </c>
      <c r="G54" s="473"/>
      <c r="H54" s="473">
        <f>H30</f>
        <v>1919439960</v>
      </c>
      <c r="I54" s="473">
        <f t="shared" ref="I54:M54" si="4">I30</f>
        <v>100.70513955928647</v>
      </c>
      <c r="J54" s="473">
        <f t="shared" si="4"/>
        <v>13439960</v>
      </c>
      <c r="K54" s="473">
        <f>K30</f>
        <v>1902997030</v>
      </c>
      <c r="L54" s="473">
        <f t="shared" si="4"/>
        <v>99.143347521013368</v>
      </c>
      <c r="M54" s="473">
        <f t="shared" si="4"/>
        <v>16442930</v>
      </c>
      <c r="N54" s="473"/>
    </row>
    <row r="55" spans="1:14" ht="20.25" customHeight="1">
      <c r="A55" s="455"/>
      <c r="B55" s="1166"/>
      <c r="C55" s="1166"/>
      <c r="D55" s="1166"/>
      <c r="E55" s="1166"/>
      <c r="F55" s="1166"/>
      <c r="G55" s="1166"/>
      <c r="H55" s="1166"/>
      <c r="I55" s="1166"/>
      <c r="J55" s="1166"/>
      <c r="K55" s="1166"/>
      <c r="L55" s="1166"/>
      <c r="M55" s="1166"/>
      <c r="N55" s="1166"/>
    </row>
  </sheetData>
  <mergeCells count="21">
    <mergeCell ref="B13:C13"/>
    <mergeCell ref="B34:C34"/>
    <mergeCell ref="B55:N55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P62"/>
  <sheetViews>
    <sheetView workbookViewId="0">
      <pane xSplit="5" ySplit="1" topLeftCell="F2" activePane="bottomRight" state="frozen"/>
      <selection pane="topRight" activeCell="F1" sqref="F1"/>
      <selection pane="bottomLeft" activeCell="A13" sqref="A13"/>
      <selection pane="bottomRight" activeCell="H25" sqref="H25"/>
    </sheetView>
  </sheetViews>
  <sheetFormatPr defaultRowHeight="11.25"/>
  <cols>
    <col min="1" max="1" width="3.28515625" style="296" customWidth="1"/>
    <col min="2" max="2" width="11.42578125" style="296" customWidth="1"/>
    <col min="3" max="3" width="43.42578125" style="296" customWidth="1"/>
    <col min="4" max="4" width="10.5703125" style="296" customWidth="1"/>
    <col min="5" max="5" width="6.85546875" style="296" customWidth="1"/>
    <col min="6" max="6" width="13" style="296" customWidth="1"/>
    <col min="7" max="7" width="8.85546875" style="296" customWidth="1"/>
    <col min="8" max="8" width="17.28515625" style="296" customWidth="1"/>
    <col min="9" max="9" width="6.42578125" style="296" customWidth="1"/>
    <col min="10" max="10" width="13.42578125" style="296" customWidth="1"/>
    <col min="11" max="11" width="15" style="296" customWidth="1"/>
    <col min="12" max="12" width="5.5703125" style="296" customWidth="1"/>
    <col min="13" max="13" width="14.85546875" style="296" customWidth="1"/>
    <col min="14" max="14" width="7.7109375" style="530" customWidth="1"/>
    <col min="15" max="16384" width="9.140625" style="296"/>
  </cols>
  <sheetData>
    <row r="1" spans="1:14">
      <c r="A1" s="729"/>
      <c r="B1" s="730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</row>
    <row r="2" spans="1:14">
      <c r="A2" s="729"/>
      <c r="B2" s="1174" t="s">
        <v>112</v>
      </c>
      <c r="C2" s="1174"/>
      <c r="D2" s="1174"/>
      <c r="E2" s="1174"/>
      <c r="F2" s="1174"/>
      <c r="G2" s="1174"/>
      <c r="H2" s="1174"/>
      <c r="I2" s="1174"/>
      <c r="J2" s="1174"/>
      <c r="K2" s="1174"/>
      <c r="L2" s="1174"/>
      <c r="M2" s="1174"/>
      <c r="N2" s="1174"/>
    </row>
    <row r="3" spans="1:14">
      <c r="A3" s="729"/>
      <c r="B3" s="1175" t="s">
        <v>196</v>
      </c>
      <c r="C3" s="1175"/>
      <c r="D3" s="1175"/>
      <c r="E3" s="1175"/>
      <c r="F3" s="1175"/>
      <c r="G3" s="1175"/>
      <c r="H3" s="1175"/>
      <c r="I3" s="1175"/>
      <c r="J3" s="1175"/>
      <c r="K3" s="1175"/>
      <c r="L3" s="1175"/>
      <c r="M3" s="1175"/>
      <c r="N3" s="1175"/>
    </row>
    <row r="4" spans="1:14">
      <c r="A4" s="729"/>
      <c r="B4" s="1176" t="s">
        <v>1</v>
      </c>
      <c r="C4" s="1176"/>
      <c r="D4" s="1176"/>
      <c r="E4" s="1176"/>
      <c r="F4" s="1176"/>
      <c r="G4" s="1176"/>
      <c r="H4" s="1176"/>
      <c r="I4" s="1176"/>
      <c r="J4" s="1176"/>
      <c r="K4" s="1176"/>
      <c r="L4" s="1176"/>
      <c r="M4" s="1176"/>
      <c r="N4" s="1176"/>
    </row>
    <row r="5" spans="1:14" ht="12" thickBot="1">
      <c r="A5" s="1183"/>
      <c r="B5" s="729"/>
      <c r="C5" s="729"/>
      <c r="D5" s="729"/>
      <c r="E5" s="729"/>
      <c r="F5" s="729"/>
      <c r="G5" s="729"/>
      <c r="H5" s="729"/>
      <c r="I5" s="729"/>
      <c r="J5" s="729"/>
      <c r="K5" s="729"/>
      <c r="L5" s="729"/>
      <c r="M5" s="729"/>
      <c r="N5" s="729"/>
    </row>
    <row r="6" spans="1:14" ht="12.75" customHeight="1" thickTop="1" thickBot="1">
      <c r="A6" s="1183"/>
      <c r="B6" s="1184" t="s">
        <v>113</v>
      </c>
      <c r="C6" s="1186" t="s">
        <v>197</v>
      </c>
      <c r="D6" s="1186"/>
      <c r="E6" s="1186"/>
      <c r="F6" s="1187" t="s">
        <v>3</v>
      </c>
      <c r="G6" s="1187"/>
      <c r="H6" s="1188" t="s">
        <v>221</v>
      </c>
      <c r="I6" s="1188"/>
      <c r="J6" s="1188"/>
      <c r="K6" s="1188"/>
      <c r="L6" s="1188"/>
      <c r="M6" s="1188"/>
      <c r="N6" s="1188"/>
    </row>
    <row r="7" spans="1:14" ht="12" customHeight="1" thickTop="1">
      <c r="A7" s="729"/>
      <c r="B7" s="1185"/>
      <c r="C7" s="1186"/>
      <c r="D7" s="1186"/>
      <c r="E7" s="1186"/>
      <c r="F7" s="1187"/>
      <c r="G7" s="1187"/>
      <c r="H7" s="1188"/>
      <c r="I7" s="1188"/>
      <c r="J7" s="1188"/>
      <c r="K7" s="1188"/>
      <c r="L7" s="1188"/>
      <c r="M7" s="1188"/>
      <c r="N7" s="1188"/>
    </row>
    <row r="8" spans="1:14">
      <c r="A8" s="729"/>
      <c r="B8" s="731" t="s">
        <v>114</v>
      </c>
      <c r="C8" s="1177" t="s">
        <v>191</v>
      </c>
      <c r="D8" s="1177"/>
      <c r="E8" s="1177"/>
      <c r="F8" s="1178" t="s">
        <v>115</v>
      </c>
      <c r="G8" s="1178"/>
      <c r="H8" s="1179" t="s">
        <v>190</v>
      </c>
      <c r="I8" s="1179"/>
      <c r="J8" s="1179"/>
      <c r="K8" s="1179"/>
      <c r="L8" s="1179"/>
      <c r="M8" s="1179"/>
      <c r="N8" s="1179"/>
    </row>
    <row r="9" spans="1:14" ht="12" thickBot="1">
      <c r="A9" s="729"/>
      <c r="B9" s="1189" t="s">
        <v>4</v>
      </c>
      <c r="C9" s="1189"/>
      <c r="D9" s="1190" t="s">
        <v>116</v>
      </c>
      <c r="E9" s="1190"/>
      <c r="F9" s="1190"/>
      <c r="G9" s="1190"/>
      <c r="H9" s="1190"/>
      <c r="I9" s="1190"/>
      <c r="J9" s="1190"/>
      <c r="K9" s="1190"/>
      <c r="L9" s="1190"/>
      <c r="M9" s="1190"/>
      <c r="N9" s="1190"/>
    </row>
    <row r="10" spans="1:14" ht="22.5" customHeight="1" thickTop="1" thickBot="1">
      <c r="A10" s="729"/>
      <c r="B10" s="1189"/>
      <c r="C10" s="1189"/>
      <c r="D10" s="1194" t="s">
        <v>117</v>
      </c>
      <c r="E10" s="1195"/>
      <c r="F10" s="1191" t="s">
        <v>6</v>
      </c>
      <c r="G10" s="1191"/>
      <c r="H10" s="1191" t="s">
        <v>6</v>
      </c>
      <c r="I10" s="1191"/>
      <c r="J10" s="732" t="s">
        <v>6</v>
      </c>
      <c r="K10" s="1191" t="s">
        <v>6</v>
      </c>
      <c r="L10" s="1191"/>
      <c r="M10" s="1192" t="s">
        <v>118</v>
      </c>
      <c r="N10" s="1193" t="s">
        <v>8</v>
      </c>
    </row>
    <row r="11" spans="1:14" ht="57.75" thickTop="1" thickBot="1">
      <c r="A11" s="729"/>
      <c r="B11" s="1189"/>
      <c r="C11" s="1189"/>
      <c r="D11" s="733" t="s">
        <v>119</v>
      </c>
      <c r="E11" s="734" t="s">
        <v>10</v>
      </c>
      <c r="F11" s="735" t="s">
        <v>182</v>
      </c>
      <c r="G11" s="736" t="s">
        <v>10</v>
      </c>
      <c r="H11" s="735" t="s">
        <v>183</v>
      </c>
      <c r="I11" s="736" t="s">
        <v>10</v>
      </c>
      <c r="J11" s="737" t="s">
        <v>120</v>
      </c>
      <c r="K11" s="735" t="s">
        <v>391</v>
      </c>
      <c r="L11" s="736" t="s">
        <v>10</v>
      </c>
      <c r="M11" s="1192"/>
      <c r="N11" s="1193"/>
    </row>
    <row r="12" spans="1:14" ht="12.75" thickTop="1" thickBot="1">
      <c r="A12" s="729"/>
      <c r="B12" s="1189"/>
      <c r="C12" s="1189"/>
      <c r="D12" s="738" t="s">
        <v>13</v>
      </c>
      <c r="E12" s="738" t="s">
        <v>14</v>
      </c>
      <c r="F12" s="738" t="s">
        <v>15</v>
      </c>
      <c r="G12" s="738" t="s">
        <v>16</v>
      </c>
      <c r="H12" s="738" t="s">
        <v>17</v>
      </c>
      <c r="I12" s="738" t="s">
        <v>18</v>
      </c>
      <c r="J12" s="738" t="s">
        <v>19</v>
      </c>
      <c r="K12" s="738" t="s">
        <v>20</v>
      </c>
      <c r="L12" s="738" t="s">
        <v>21</v>
      </c>
      <c r="M12" s="738" t="s">
        <v>22</v>
      </c>
      <c r="N12" s="739" t="s">
        <v>23</v>
      </c>
    </row>
    <row r="13" spans="1:14" ht="12" thickTop="1">
      <c r="A13" s="729"/>
      <c r="B13" s="1180" t="s">
        <v>32</v>
      </c>
      <c r="C13" s="1180"/>
      <c r="D13" s="740"/>
      <c r="E13" s="741"/>
      <c r="F13" s="740"/>
      <c r="G13" s="741"/>
      <c r="H13" s="740"/>
      <c r="I13" s="741"/>
      <c r="J13" s="742"/>
      <c r="K13" s="740"/>
      <c r="L13" s="741"/>
      <c r="M13" s="740"/>
      <c r="N13" s="743"/>
    </row>
    <row r="14" spans="1:14">
      <c r="A14" s="729"/>
      <c r="B14" s="744" t="s">
        <v>25</v>
      </c>
      <c r="C14" s="745" t="s">
        <v>26</v>
      </c>
      <c r="D14" s="740"/>
      <c r="E14" s="741"/>
      <c r="F14" s="740"/>
      <c r="G14" s="741"/>
      <c r="H14" s="746"/>
      <c r="I14" s="741"/>
      <c r="J14" s="747"/>
      <c r="K14" s="746"/>
      <c r="L14" s="741"/>
      <c r="M14" s="740"/>
      <c r="N14" s="743"/>
    </row>
    <row r="15" spans="1:14">
      <c r="A15" s="729"/>
      <c r="B15" s="748" t="s">
        <v>34</v>
      </c>
      <c r="C15" s="749" t="s">
        <v>35</v>
      </c>
      <c r="D15" s="750">
        <v>418063966</v>
      </c>
      <c r="E15" s="750">
        <v>51.250618964940131</v>
      </c>
      <c r="F15" s="750">
        <v>549000000</v>
      </c>
      <c r="G15" s="750">
        <v>63.103448275862071</v>
      </c>
      <c r="H15" s="750">
        <v>503290000</v>
      </c>
      <c r="I15" s="751">
        <v>50.849143259527473</v>
      </c>
      <c r="J15" s="750">
        <v>-45710000</v>
      </c>
      <c r="K15" s="750">
        <v>478323136</v>
      </c>
      <c r="L15" s="752">
        <v>50.564518993573039</v>
      </c>
      <c r="M15" s="753">
        <v>24966864</v>
      </c>
      <c r="N15" s="754">
        <v>95.039268811222158</v>
      </c>
    </row>
    <row r="16" spans="1:14">
      <c r="A16" s="729"/>
      <c r="B16" s="748" t="s">
        <v>36</v>
      </c>
      <c r="C16" s="749" t="s">
        <v>37</v>
      </c>
      <c r="D16" s="750">
        <v>99767190</v>
      </c>
      <c r="E16" s="750">
        <v>12.230497377745264</v>
      </c>
      <c r="F16" s="750">
        <v>100000000</v>
      </c>
      <c r="G16" s="750">
        <v>11.494252873563218</v>
      </c>
      <c r="H16" s="750">
        <v>119700000</v>
      </c>
      <c r="I16" s="751">
        <v>12.093708295744877</v>
      </c>
      <c r="J16" s="750">
        <v>19700000</v>
      </c>
      <c r="K16" s="750">
        <v>117426725</v>
      </c>
      <c r="L16" s="751">
        <v>12.413419756922606</v>
      </c>
      <c r="M16" s="753">
        <v>2273275</v>
      </c>
      <c r="N16" s="754">
        <v>98.100856307435265</v>
      </c>
    </row>
    <row r="17" spans="1:16">
      <c r="A17" s="729"/>
      <c r="B17" s="748" t="s">
        <v>38</v>
      </c>
      <c r="C17" s="749" t="s">
        <v>39</v>
      </c>
      <c r="D17" s="750">
        <v>100127602</v>
      </c>
      <c r="E17" s="750">
        <v>12.274680420496171</v>
      </c>
      <c r="F17" s="750">
        <v>81000000</v>
      </c>
      <c r="G17" s="750">
        <v>9.3103448275862082</v>
      </c>
      <c r="H17" s="750">
        <v>107510000</v>
      </c>
      <c r="I17" s="751">
        <v>10.862110099210792</v>
      </c>
      <c r="J17" s="750">
        <v>26510000</v>
      </c>
      <c r="K17" s="750">
        <v>100983829</v>
      </c>
      <c r="L17" s="751">
        <v>10.675207522293533</v>
      </c>
      <c r="M17" s="753">
        <v>6526171</v>
      </c>
      <c r="N17" s="754">
        <v>93.929707934145654</v>
      </c>
      <c r="O17" s="529"/>
      <c r="P17" s="529"/>
    </row>
    <row r="18" spans="1:16">
      <c r="A18" s="729"/>
      <c r="B18" s="748" t="s">
        <v>40</v>
      </c>
      <c r="C18" s="749" t="s">
        <v>41</v>
      </c>
      <c r="D18" s="750"/>
      <c r="E18" s="750"/>
      <c r="F18" s="750"/>
      <c r="G18" s="750"/>
      <c r="H18" s="750"/>
      <c r="I18" s="751"/>
      <c r="J18" s="755"/>
      <c r="K18" s="750"/>
      <c r="L18" s="751"/>
      <c r="M18" s="753"/>
      <c r="N18" s="754"/>
      <c r="O18" s="529"/>
      <c r="P18" s="529"/>
    </row>
    <row r="19" spans="1:16">
      <c r="A19" s="729"/>
      <c r="B19" s="748" t="s">
        <v>42</v>
      </c>
      <c r="C19" s="749" t="s">
        <v>43</v>
      </c>
      <c r="D19" s="750"/>
      <c r="E19" s="750"/>
      <c r="F19" s="750"/>
      <c r="G19" s="750"/>
      <c r="H19" s="750"/>
      <c r="I19" s="751"/>
      <c r="J19" s="755"/>
      <c r="K19" s="750"/>
      <c r="L19" s="751"/>
      <c r="M19" s="753"/>
      <c r="N19" s="754"/>
      <c r="O19" s="529"/>
      <c r="P19" s="529"/>
    </row>
    <row r="20" spans="1:16">
      <c r="A20" s="729"/>
      <c r="B20" s="748" t="s">
        <v>44</v>
      </c>
      <c r="C20" s="749" t="s">
        <v>45</v>
      </c>
      <c r="D20" s="750"/>
      <c r="E20" s="750"/>
      <c r="F20" s="750"/>
      <c r="G20" s="750"/>
      <c r="H20" s="750"/>
      <c r="I20" s="751"/>
      <c r="J20" s="755"/>
      <c r="K20" s="750"/>
      <c r="L20" s="751"/>
      <c r="M20" s="753"/>
      <c r="N20" s="754"/>
      <c r="O20" s="529"/>
      <c r="P20" s="529"/>
    </row>
    <row r="21" spans="1:16">
      <c r="A21" s="729"/>
      <c r="B21" s="748" t="s">
        <v>46</v>
      </c>
      <c r="C21" s="749" t="s">
        <v>47</v>
      </c>
      <c r="D21" s="750">
        <v>197765958</v>
      </c>
      <c r="E21" s="750">
        <v>24.244203236818436</v>
      </c>
      <c r="F21" s="750">
        <v>140000000</v>
      </c>
      <c r="G21" s="750">
        <v>16.091954022988507</v>
      </c>
      <c r="H21" s="750">
        <v>259270855</v>
      </c>
      <c r="I21" s="751">
        <v>26.195038345516853</v>
      </c>
      <c r="J21" s="750">
        <v>119270855</v>
      </c>
      <c r="K21" s="750">
        <v>249232267</v>
      </c>
      <c r="L21" s="751">
        <v>26.346853727210817</v>
      </c>
      <c r="M21" s="753">
        <v>10038588</v>
      </c>
      <c r="N21" s="754">
        <v>96.128146374184638</v>
      </c>
      <c r="O21" s="529"/>
      <c r="P21" s="529"/>
    </row>
    <row r="22" spans="1:16">
      <c r="A22" s="729"/>
      <c r="B22" s="756"/>
      <c r="C22" s="757" t="s">
        <v>121</v>
      </c>
      <c r="D22" s="758">
        <v>815724716</v>
      </c>
      <c r="E22" s="750">
        <v>69.608603187223423</v>
      </c>
      <c r="F22" s="758">
        <v>870000000</v>
      </c>
      <c r="G22" s="758">
        <v>60.96706377014717</v>
      </c>
      <c r="H22" s="758">
        <v>989770855</v>
      </c>
      <c r="I22" s="759">
        <v>68.175340291185947</v>
      </c>
      <c r="J22" s="759">
        <v>119770855</v>
      </c>
      <c r="K22" s="759">
        <v>945965957</v>
      </c>
      <c r="L22" s="759">
        <v>70.443556652910061</v>
      </c>
      <c r="M22" s="759">
        <v>43804898</v>
      </c>
      <c r="N22" s="754">
        <v>95.574238443301098</v>
      </c>
      <c r="O22" s="529"/>
      <c r="P22" s="529"/>
    </row>
    <row r="23" spans="1:16">
      <c r="A23" s="729"/>
      <c r="B23" s="748" t="s">
        <v>49</v>
      </c>
      <c r="C23" s="749" t="s">
        <v>50</v>
      </c>
      <c r="D23" s="750"/>
      <c r="E23" s="750"/>
      <c r="F23" s="750"/>
      <c r="G23" s="750"/>
      <c r="H23" s="750"/>
      <c r="I23" s="753"/>
      <c r="J23" s="753"/>
      <c r="K23" s="753"/>
      <c r="L23" s="753"/>
      <c r="M23" s="753"/>
      <c r="N23" s="754"/>
      <c r="O23" s="529"/>
      <c r="P23" s="529"/>
    </row>
    <row r="24" spans="1:16">
      <c r="A24" s="729"/>
      <c r="B24" s="748" t="s">
        <v>51</v>
      </c>
      <c r="C24" s="749" t="s">
        <v>52</v>
      </c>
      <c r="D24" s="753">
        <v>356148700</v>
      </c>
      <c r="E24" s="750">
        <v>30.391396812776577</v>
      </c>
      <c r="F24" s="753">
        <v>557000000</v>
      </c>
      <c r="G24" s="753">
        <v>39.032936229852837</v>
      </c>
      <c r="H24" s="753">
        <v>462031000</v>
      </c>
      <c r="I24" s="753">
        <v>31.824659708814053</v>
      </c>
      <c r="J24" s="753">
        <v>-94969000</v>
      </c>
      <c r="K24" s="753">
        <v>396904849</v>
      </c>
      <c r="L24" s="753">
        <v>29.556443347089932</v>
      </c>
      <c r="M24" s="753">
        <v>65126151</v>
      </c>
      <c r="N24" s="754">
        <v>85.904376329726801</v>
      </c>
      <c r="O24" s="529"/>
      <c r="P24" s="760"/>
    </row>
    <row r="25" spans="1:16">
      <c r="A25" s="729"/>
      <c r="B25" s="756"/>
      <c r="C25" s="757" t="s">
        <v>122</v>
      </c>
      <c r="D25" s="758">
        <v>356148700</v>
      </c>
      <c r="E25" s="758">
        <v>7.5</v>
      </c>
      <c r="F25" s="758">
        <v>557000000</v>
      </c>
      <c r="G25" s="758">
        <v>7.5</v>
      </c>
      <c r="H25" s="758">
        <v>462031000</v>
      </c>
      <c r="I25" s="759">
        <v>7.5</v>
      </c>
      <c r="J25" s="759">
        <v>-94969000</v>
      </c>
      <c r="K25" s="759">
        <v>396904849</v>
      </c>
      <c r="L25" s="759">
        <v>7.5</v>
      </c>
      <c r="M25" s="759">
        <v>65126151</v>
      </c>
      <c r="N25" s="754">
        <v>85.904376329726801</v>
      </c>
      <c r="O25" s="529"/>
      <c r="P25" s="529"/>
    </row>
    <row r="26" spans="1:16">
      <c r="A26" s="729"/>
      <c r="B26" s="748" t="s">
        <v>49</v>
      </c>
      <c r="C26" s="749" t="s">
        <v>50</v>
      </c>
      <c r="D26" s="750"/>
      <c r="E26" s="750"/>
      <c r="F26" s="750"/>
      <c r="G26" s="750"/>
      <c r="H26" s="750"/>
      <c r="I26" s="753"/>
      <c r="J26" s="753"/>
      <c r="K26" s="753"/>
      <c r="L26" s="753"/>
      <c r="M26" s="753"/>
      <c r="N26" s="754"/>
      <c r="O26" s="529"/>
      <c r="P26" s="529"/>
    </row>
    <row r="27" spans="1:16">
      <c r="A27" s="729"/>
      <c r="B27" s="748" t="s">
        <v>51</v>
      </c>
      <c r="C27" s="749" t="s">
        <v>52</v>
      </c>
      <c r="D27" s="750"/>
      <c r="E27" s="750"/>
      <c r="F27" s="750"/>
      <c r="G27" s="750"/>
      <c r="H27" s="750"/>
      <c r="I27" s="753"/>
      <c r="J27" s="753"/>
      <c r="K27" s="753"/>
      <c r="L27" s="753"/>
      <c r="M27" s="753"/>
      <c r="N27" s="754"/>
      <c r="O27" s="529"/>
      <c r="P27" s="529"/>
    </row>
    <row r="28" spans="1:16">
      <c r="A28" s="729"/>
      <c r="B28" s="756"/>
      <c r="C28" s="757" t="s">
        <v>123</v>
      </c>
      <c r="D28" s="758">
        <v>0</v>
      </c>
      <c r="E28" s="758"/>
      <c r="F28" s="758">
        <v>0</v>
      </c>
      <c r="G28" s="758"/>
      <c r="H28" s="758">
        <v>0</v>
      </c>
      <c r="I28" s="759"/>
      <c r="J28" s="759">
        <v>0</v>
      </c>
      <c r="K28" s="759">
        <v>0</v>
      </c>
      <c r="L28" s="759"/>
      <c r="M28" s="759">
        <v>0</v>
      </c>
      <c r="N28" s="754"/>
      <c r="O28" s="529"/>
      <c r="P28" s="529"/>
    </row>
    <row r="29" spans="1:16">
      <c r="A29" s="729"/>
      <c r="B29" s="756"/>
      <c r="C29" s="757" t="s">
        <v>124</v>
      </c>
      <c r="D29" s="758">
        <v>356148700</v>
      </c>
      <c r="E29" s="758">
        <v>30.391396812776577</v>
      </c>
      <c r="F29" s="758">
        <v>557000000</v>
      </c>
      <c r="G29" s="758">
        <v>39.032936229852837</v>
      </c>
      <c r="H29" s="758">
        <v>462031000</v>
      </c>
      <c r="I29" s="759">
        <v>31.824659708814053</v>
      </c>
      <c r="J29" s="759">
        <v>-94969000</v>
      </c>
      <c r="K29" s="759">
        <v>396904849</v>
      </c>
      <c r="L29" s="759">
        <v>29.556443347089932</v>
      </c>
      <c r="M29" s="759">
        <v>65126151</v>
      </c>
      <c r="N29" s="754">
        <v>85.904376329726801</v>
      </c>
      <c r="O29" s="529"/>
      <c r="P29" s="529"/>
    </row>
    <row r="30" spans="1:16">
      <c r="A30" s="729"/>
      <c r="B30" s="756"/>
      <c r="C30" s="757" t="s">
        <v>125</v>
      </c>
      <c r="D30" s="758">
        <v>1171873416</v>
      </c>
      <c r="E30" s="758">
        <v>99.669861079506944</v>
      </c>
      <c r="F30" s="758">
        <v>1427000000</v>
      </c>
      <c r="G30" s="758">
        <v>99.978956916782039</v>
      </c>
      <c r="H30" s="758">
        <v>1451801855</v>
      </c>
      <c r="I30" s="758">
        <v>99.582888433903534</v>
      </c>
      <c r="J30" s="758">
        <v>24801855</v>
      </c>
      <c r="K30" s="758">
        <v>1342870806</v>
      </c>
      <c r="L30" s="758">
        <v>99.766353398459472</v>
      </c>
      <c r="M30" s="758">
        <v>108931049</v>
      </c>
      <c r="N30" s="754">
        <v>92.496837731344542</v>
      </c>
      <c r="O30" s="529"/>
      <c r="P30" s="529"/>
    </row>
    <row r="31" spans="1:16">
      <c r="A31" s="729"/>
      <c r="B31" s="756"/>
      <c r="C31" s="757" t="s">
        <v>126</v>
      </c>
      <c r="D31" s="758">
        <v>3881625</v>
      </c>
      <c r="E31" s="758">
        <v>0.33013892049304849</v>
      </c>
      <c r="F31" s="758">
        <v>300348</v>
      </c>
      <c r="G31" s="758">
        <v>2.1043083217968921E-2</v>
      </c>
      <c r="H31" s="758">
        <v>6080998</v>
      </c>
      <c r="I31" s="758">
        <v>0.4171115660964565</v>
      </c>
      <c r="J31" s="758">
        <v>5780650</v>
      </c>
      <c r="K31" s="758">
        <v>3144920</v>
      </c>
      <c r="L31" s="759">
        <v>0.23364660154052314</v>
      </c>
      <c r="M31" s="758">
        <v>2936078</v>
      </c>
      <c r="N31" s="754">
        <v>51.717168793674986</v>
      </c>
      <c r="O31" s="529"/>
      <c r="P31" s="529"/>
    </row>
    <row r="32" spans="1:16">
      <c r="A32" s="729"/>
      <c r="B32" s="756"/>
      <c r="C32" s="757" t="s">
        <v>127</v>
      </c>
      <c r="D32" s="758">
        <v>0</v>
      </c>
      <c r="E32" s="758"/>
      <c r="F32" s="758"/>
      <c r="G32" s="758"/>
      <c r="H32" s="758"/>
      <c r="I32" s="758"/>
      <c r="J32" s="758"/>
      <c r="K32" s="758">
        <v>0</v>
      </c>
      <c r="L32" s="758"/>
      <c r="M32" s="758">
        <v>0</v>
      </c>
      <c r="N32" s="754"/>
      <c r="O32" s="529"/>
      <c r="P32" s="529"/>
    </row>
    <row r="33" spans="1:14" ht="12" thickBot="1">
      <c r="A33" s="729"/>
      <c r="B33" s="756"/>
      <c r="C33" s="757" t="s">
        <v>128</v>
      </c>
      <c r="D33" s="758">
        <v>1175755041</v>
      </c>
      <c r="E33" s="758">
        <v>99.999999999999986</v>
      </c>
      <c r="F33" s="758">
        <v>1427300348</v>
      </c>
      <c r="G33" s="758">
        <v>100.00000000000001</v>
      </c>
      <c r="H33" s="758">
        <v>1457882853</v>
      </c>
      <c r="I33" s="758">
        <v>99.999999999999986</v>
      </c>
      <c r="J33" s="758">
        <v>30582505</v>
      </c>
      <c r="K33" s="758">
        <v>1346015726</v>
      </c>
      <c r="L33" s="758">
        <v>100</v>
      </c>
      <c r="M33" s="758">
        <v>111867127</v>
      </c>
      <c r="N33" s="754">
        <v>92.326741015589675</v>
      </c>
    </row>
    <row r="34" spans="1:14" ht="12" thickTop="1">
      <c r="A34" s="729"/>
      <c r="B34" s="1181" t="s">
        <v>129</v>
      </c>
      <c r="C34" s="1181"/>
      <c r="D34" s="761"/>
      <c r="E34" s="762"/>
      <c r="F34" s="763"/>
      <c r="G34" s="762"/>
      <c r="H34" s="763"/>
      <c r="I34" s="762"/>
      <c r="J34" s="764"/>
      <c r="K34" s="761"/>
      <c r="L34" s="762"/>
      <c r="M34" s="763"/>
      <c r="N34" s="765"/>
    </row>
    <row r="35" spans="1:14">
      <c r="A35" s="729"/>
      <c r="B35" s="744" t="s">
        <v>33</v>
      </c>
      <c r="C35" s="745" t="s">
        <v>26</v>
      </c>
      <c r="D35" s="746"/>
      <c r="E35" s="741"/>
      <c r="F35" s="740"/>
      <c r="G35" s="741"/>
      <c r="H35" s="740"/>
      <c r="I35" s="741"/>
      <c r="J35" s="747"/>
      <c r="K35" s="746"/>
      <c r="L35" s="741"/>
      <c r="M35" s="740"/>
      <c r="N35" s="766"/>
    </row>
    <row r="36" spans="1:14">
      <c r="A36" s="729"/>
      <c r="B36" s="748"/>
      <c r="C36" s="767" t="s">
        <v>130</v>
      </c>
      <c r="D36" s="758">
        <v>815724716</v>
      </c>
      <c r="E36" s="758">
        <v>69.608603187223423</v>
      </c>
      <c r="F36" s="758">
        <v>870000000</v>
      </c>
      <c r="G36" s="758">
        <v>60.96706377014717</v>
      </c>
      <c r="H36" s="758">
        <v>989770855</v>
      </c>
      <c r="I36" s="758">
        <v>68.175340291185947</v>
      </c>
      <c r="J36" s="758">
        <v>119770855</v>
      </c>
      <c r="K36" s="758">
        <v>945965957</v>
      </c>
      <c r="L36" s="758">
        <v>70.443556652910061</v>
      </c>
      <c r="M36" s="758">
        <v>43804898</v>
      </c>
      <c r="N36" s="754">
        <v>95.574238443301098</v>
      </c>
    </row>
    <row r="37" spans="1:14">
      <c r="A37" s="729"/>
      <c r="B37" s="748" t="s">
        <v>131</v>
      </c>
      <c r="C37" s="768" t="s">
        <v>132</v>
      </c>
      <c r="D37" s="750"/>
      <c r="E37" s="750"/>
      <c r="F37" s="750"/>
      <c r="G37" s="750"/>
      <c r="H37" s="750"/>
      <c r="I37" s="750"/>
      <c r="J37" s="750"/>
      <c r="K37" s="750"/>
      <c r="L37" s="750"/>
      <c r="M37" s="750"/>
      <c r="N37" s="769"/>
    </row>
    <row r="38" spans="1:14" ht="22.5">
      <c r="A38" s="729"/>
      <c r="B38" s="748" t="s">
        <v>392</v>
      </c>
      <c r="C38" s="768" t="s">
        <v>393</v>
      </c>
      <c r="D38" s="750">
        <v>815724716</v>
      </c>
      <c r="E38" s="750">
        <v>69.608603187223423</v>
      </c>
      <c r="F38" s="750">
        <v>870000000</v>
      </c>
      <c r="G38" s="750">
        <v>60.96706377014717</v>
      </c>
      <c r="H38" s="750">
        <v>989770855</v>
      </c>
      <c r="I38" s="750">
        <v>68.175340291185947</v>
      </c>
      <c r="J38" s="750">
        <v>119770855</v>
      </c>
      <c r="K38" s="750">
        <v>945965957</v>
      </c>
      <c r="L38" s="750">
        <v>70.443556652910061</v>
      </c>
      <c r="M38" s="750">
        <v>43804898</v>
      </c>
      <c r="N38" s="770">
        <v>95.574238443301098</v>
      </c>
    </row>
    <row r="39" spans="1:14">
      <c r="A39" s="729"/>
      <c r="B39" s="748"/>
      <c r="C39" s="767" t="s">
        <v>133</v>
      </c>
      <c r="D39" s="759">
        <v>356148700</v>
      </c>
      <c r="E39" s="759">
        <v>81</v>
      </c>
      <c r="F39" s="759">
        <v>557000000</v>
      </c>
      <c r="G39" s="759">
        <v>100</v>
      </c>
      <c r="H39" s="759">
        <v>462031000</v>
      </c>
      <c r="I39" s="759">
        <v>100</v>
      </c>
      <c r="J39" s="759">
        <v>-94969000</v>
      </c>
      <c r="K39" s="759">
        <v>396904849</v>
      </c>
      <c r="L39" s="759">
        <v>100</v>
      </c>
      <c r="M39" s="759">
        <v>65126151</v>
      </c>
      <c r="N39" s="754">
        <v>85.904376329726801</v>
      </c>
    </row>
    <row r="40" spans="1:14">
      <c r="A40" s="729"/>
      <c r="B40" s="748" t="s">
        <v>131</v>
      </c>
      <c r="C40" s="768" t="s">
        <v>132</v>
      </c>
      <c r="D40" s="753"/>
      <c r="E40" s="753"/>
      <c r="F40" s="753"/>
      <c r="G40" s="753"/>
      <c r="H40" s="753"/>
      <c r="I40" s="753"/>
      <c r="J40" s="753"/>
      <c r="K40" s="753"/>
      <c r="L40" s="753"/>
      <c r="M40" s="753"/>
      <c r="N40" s="770"/>
    </row>
    <row r="41" spans="1:14" ht="22.5">
      <c r="A41" s="729"/>
      <c r="B41" s="748" t="s">
        <v>394</v>
      </c>
      <c r="C41" s="768" t="s">
        <v>395</v>
      </c>
      <c r="D41" s="753">
        <v>3731311</v>
      </c>
      <c r="E41" s="753">
        <v>1.0476834535686919</v>
      </c>
      <c r="F41" s="753"/>
      <c r="G41" s="753">
        <v>0</v>
      </c>
      <c r="H41" s="753"/>
      <c r="I41" s="753">
        <v>0</v>
      </c>
      <c r="J41" s="753"/>
      <c r="K41" s="753"/>
      <c r="L41" s="753">
        <v>0</v>
      </c>
      <c r="M41" s="753"/>
      <c r="N41" s="770"/>
    </row>
    <row r="42" spans="1:14" ht="22.5">
      <c r="A42" s="729"/>
      <c r="B42" s="748" t="s">
        <v>396</v>
      </c>
      <c r="C42" s="768" t="s">
        <v>397</v>
      </c>
      <c r="D42" s="753">
        <v>12686630</v>
      </c>
      <c r="E42" s="753">
        <v>3.5621722050368287</v>
      </c>
      <c r="F42" s="753"/>
      <c r="G42" s="753">
        <v>0</v>
      </c>
      <c r="H42" s="753"/>
      <c r="I42" s="753">
        <v>0</v>
      </c>
      <c r="J42" s="753"/>
      <c r="K42" s="753"/>
      <c r="L42" s="753">
        <v>0</v>
      </c>
      <c r="M42" s="753"/>
      <c r="N42" s="770"/>
    </row>
    <row r="43" spans="1:14">
      <c r="A43" s="729"/>
      <c r="B43" s="748" t="s">
        <v>398</v>
      </c>
      <c r="C43" s="768" t="s">
        <v>399</v>
      </c>
      <c r="D43" s="753">
        <v>265234605</v>
      </c>
      <c r="E43" s="753">
        <v>74.47299540894015</v>
      </c>
      <c r="F43" s="753">
        <v>160178000</v>
      </c>
      <c r="G43" s="753">
        <v>28.757271095152603</v>
      </c>
      <c r="H43" s="753">
        <v>180719902</v>
      </c>
      <c r="I43" s="753">
        <v>39.114237356367866</v>
      </c>
      <c r="J43" s="753">
        <v>20541902</v>
      </c>
      <c r="K43" s="753">
        <v>159102021</v>
      </c>
      <c r="L43" s="753">
        <v>40.085683357322758</v>
      </c>
      <c r="M43" s="753">
        <v>21617881</v>
      </c>
      <c r="N43" s="770">
        <v>88.03790796655035</v>
      </c>
    </row>
    <row r="44" spans="1:14">
      <c r="A44" s="729"/>
      <c r="B44" s="748" t="s">
        <v>400</v>
      </c>
      <c r="C44" s="768" t="s">
        <v>401</v>
      </c>
      <c r="D44" s="753">
        <v>7999900</v>
      </c>
      <c r="E44" s="753">
        <v>2.2462246808706587</v>
      </c>
      <c r="F44" s="753">
        <v>45000000</v>
      </c>
      <c r="G44" s="753">
        <v>8.0789946140035909</v>
      </c>
      <c r="H44" s="753">
        <v>82612654</v>
      </c>
      <c r="I44" s="753">
        <v>17.880327077620333</v>
      </c>
      <c r="J44" s="753">
        <v>37612654</v>
      </c>
      <c r="K44" s="753">
        <v>82612654</v>
      </c>
      <c r="L44" s="753">
        <v>20.814221395415604</v>
      </c>
      <c r="M44" s="753">
        <v>0</v>
      </c>
      <c r="N44" s="770">
        <v>100</v>
      </c>
    </row>
    <row r="45" spans="1:14" ht="22.5">
      <c r="A45" s="729"/>
      <c r="B45" s="748" t="s">
        <v>402</v>
      </c>
      <c r="C45" s="768" t="s">
        <v>403</v>
      </c>
      <c r="D45" s="753">
        <v>0</v>
      </c>
      <c r="E45" s="753">
        <v>0</v>
      </c>
      <c r="F45" s="753">
        <v>132837000</v>
      </c>
      <c r="G45" s="753">
        <v>23.848653500897665</v>
      </c>
      <c r="H45" s="753">
        <v>122494635</v>
      </c>
      <c r="I45" s="753">
        <v>26.512211301839056</v>
      </c>
      <c r="J45" s="753">
        <v>-10342365</v>
      </c>
      <c r="K45" s="753">
        <v>100494494</v>
      </c>
      <c r="L45" s="753">
        <v>25.319543022262248</v>
      </c>
      <c r="M45" s="753">
        <v>22000141</v>
      </c>
      <c r="N45" s="770">
        <v>82.039914646057767</v>
      </c>
    </row>
    <row r="46" spans="1:14" ht="22.5">
      <c r="A46" s="729"/>
      <c r="B46" s="748" t="s">
        <v>404</v>
      </c>
      <c r="C46" s="768" t="s">
        <v>405</v>
      </c>
      <c r="D46" s="753">
        <v>57773142</v>
      </c>
      <c r="E46" s="753">
        <v>16.221634951917554</v>
      </c>
      <c r="F46" s="753">
        <v>20000000</v>
      </c>
      <c r="G46" s="753">
        <v>3.5906642728904847</v>
      </c>
      <c r="H46" s="753">
        <v>20000000</v>
      </c>
      <c r="I46" s="753">
        <v>4.3287138741772733</v>
      </c>
      <c r="J46" s="753">
        <v>0</v>
      </c>
      <c r="K46" s="753">
        <v>0</v>
      </c>
      <c r="L46" s="753">
        <v>0</v>
      </c>
      <c r="M46" s="753">
        <v>20000000</v>
      </c>
      <c r="N46" s="770">
        <v>0</v>
      </c>
    </row>
    <row r="47" spans="1:14">
      <c r="A47" s="729"/>
      <c r="B47" s="748" t="s">
        <v>406</v>
      </c>
      <c r="C47" s="768" t="s">
        <v>407</v>
      </c>
      <c r="D47" s="753">
        <v>280752</v>
      </c>
      <c r="E47" s="753">
        <v>7.8829994325403968E-2</v>
      </c>
      <c r="F47" s="753">
        <v>1200000</v>
      </c>
      <c r="G47" s="753">
        <v>0.21543985637342908</v>
      </c>
      <c r="H47" s="753">
        <v>1060000</v>
      </c>
      <c r="I47" s="753">
        <v>0.22942183533139551</v>
      </c>
      <c r="J47" s="753">
        <v>-140000</v>
      </c>
      <c r="K47" s="753">
        <v>0</v>
      </c>
      <c r="L47" s="753">
        <v>0</v>
      </c>
      <c r="M47" s="753">
        <v>1060000</v>
      </c>
      <c r="N47" s="770">
        <v>0</v>
      </c>
    </row>
    <row r="48" spans="1:14" ht="22.5">
      <c r="A48" s="729"/>
      <c r="B48" s="748" t="s">
        <v>408</v>
      </c>
      <c r="C48" s="768" t="s">
        <v>409</v>
      </c>
      <c r="D48" s="753">
        <v>8442360</v>
      </c>
      <c r="E48" s="753">
        <v>2.3704593053407188</v>
      </c>
      <c r="F48" s="753"/>
      <c r="G48" s="753">
        <v>0</v>
      </c>
      <c r="H48" s="753"/>
      <c r="I48" s="753">
        <v>0</v>
      </c>
      <c r="J48" s="753"/>
      <c r="K48" s="753"/>
      <c r="L48" s="753">
        <v>0</v>
      </c>
      <c r="M48" s="753"/>
      <c r="N48" s="770"/>
    </row>
    <row r="49" spans="1:14">
      <c r="A49" s="729"/>
      <c r="B49" s="748" t="s">
        <v>410</v>
      </c>
      <c r="C49" s="768" t="s">
        <v>411</v>
      </c>
      <c r="D49" s="753">
        <v>0</v>
      </c>
      <c r="E49" s="753">
        <v>0</v>
      </c>
      <c r="F49" s="753">
        <v>30000000</v>
      </c>
      <c r="G49" s="753">
        <v>5.3859964093357267</v>
      </c>
      <c r="H49" s="753">
        <v>17390000</v>
      </c>
      <c r="I49" s="753">
        <v>3.7638167135971394</v>
      </c>
      <c r="J49" s="753">
        <v>-12610000</v>
      </c>
      <c r="K49" s="753">
        <v>16941973</v>
      </c>
      <c r="L49" s="753">
        <v>4.2685225546337424</v>
      </c>
      <c r="M49" s="753">
        <v>448027</v>
      </c>
      <c r="N49" s="770">
        <v>97.42365152386428</v>
      </c>
    </row>
    <row r="50" spans="1:14" ht="22.5">
      <c r="A50" s="729"/>
      <c r="B50" s="748" t="s">
        <v>412</v>
      </c>
      <c r="C50" s="768" t="s">
        <v>413</v>
      </c>
      <c r="D50" s="753">
        <v>0</v>
      </c>
      <c r="E50" s="753">
        <v>0</v>
      </c>
      <c r="F50" s="753">
        <v>42785000</v>
      </c>
      <c r="G50" s="753">
        <v>7.6813285457809686</v>
      </c>
      <c r="H50" s="753">
        <v>0</v>
      </c>
      <c r="I50" s="753">
        <v>0</v>
      </c>
      <c r="J50" s="753">
        <v>-80000000</v>
      </c>
      <c r="K50" s="753"/>
      <c r="L50" s="753">
        <v>0</v>
      </c>
      <c r="M50" s="753"/>
      <c r="N50" s="770"/>
    </row>
    <row r="51" spans="1:14">
      <c r="A51" s="729"/>
      <c r="B51" s="748" t="s">
        <v>414</v>
      </c>
      <c r="C51" s="768" t="s">
        <v>415</v>
      </c>
      <c r="D51" s="753">
        <v>0</v>
      </c>
      <c r="E51" s="753">
        <v>0</v>
      </c>
      <c r="F51" s="753">
        <v>80000000</v>
      </c>
      <c r="G51" s="753">
        <v>14.362657091561939</v>
      </c>
      <c r="H51" s="753">
        <v>0</v>
      </c>
      <c r="I51" s="753">
        <v>0</v>
      </c>
      <c r="J51" s="753">
        <v>-42785000</v>
      </c>
      <c r="K51" s="753">
        <v>0</v>
      </c>
      <c r="L51" s="753">
        <v>0</v>
      </c>
      <c r="M51" s="753">
        <v>0</v>
      </c>
      <c r="N51" s="770"/>
    </row>
    <row r="52" spans="1:14">
      <c r="A52" s="729"/>
      <c r="B52" s="748" t="s">
        <v>416</v>
      </c>
      <c r="C52" s="768" t="s">
        <v>417</v>
      </c>
      <c r="D52" s="753">
        <v>0</v>
      </c>
      <c r="E52" s="753">
        <v>0</v>
      </c>
      <c r="F52" s="753">
        <v>0</v>
      </c>
      <c r="G52" s="753">
        <v>0</v>
      </c>
      <c r="H52" s="753">
        <v>37753809</v>
      </c>
      <c r="I52" s="753">
        <v>8.1712718410669414</v>
      </c>
      <c r="J52" s="753">
        <v>37753809</v>
      </c>
      <c r="K52" s="753">
        <v>37753707</v>
      </c>
      <c r="L52" s="753">
        <v>9.5120296703656546</v>
      </c>
      <c r="M52" s="753">
        <v>102</v>
      </c>
      <c r="N52" s="770">
        <v>99.999729828584975</v>
      </c>
    </row>
    <row r="53" spans="1:14">
      <c r="A53" s="729"/>
      <c r="B53" s="748" t="s">
        <v>215</v>
      </c>
      <c r="C53" s="768" t="s">
        <v>216</v>
      </c>
      <c r="D53" s="753">
        <v>0</v>
      </c>
      <c r="E53" s="753">
        <v>0</v>
      </c>
      <c r="F53" s="753">
        <v>45000000</v>
      </c>
      <c r="G53" s="753">
        <v>8.0789946140035909</v>
      </c>
      <c r="H53" s="753">
        <v>0</v>
      </c>
      <c r="I53" s="753">
        <v>0</v>
      </c>
      <c r="J53" s="753">
        <v>-45000000</v>
      </c>
      <c r="K53" s="753">
        <v>0</v>
      </c>
      <c r="L53" s="753">
        <v>0</v>
      </c>
      <c r="M53" s="753">
        <v>0</v>
      </c>
      <c r="N53" s="770"/>
    </row>
    <row r="54" spans="1:14">
      <c r="A54" s="729"/>
      <c r="B54" s="748"/>
      <c r="C54" s="767" t="s">
        <v>122</v>
      </c>
      <c r="D54" s="759">
        <v>356148700</v>
      </c>
      <c r="E54" s="759">
        <v>81</v>
      </c>
      <c r="F54" s="759">
        <v>557000000</v>
      </c>
      <c r="G54" s="759">
        <v>100</v>
      </c>
      <c r="H54" s="759">
        <v>462031000</v>
      </c>
      <c r="I54" s="759">
        <v>100</v>
      </c>
      <c r="J54" s="759">
        <v>-94969000</v>
      </c>
      <c r="K54" s="759">
        <v>396904849</v>
      </c>
      <c r="L54" s="759">
        <v>100</v>
      </c>
      <c r="M54" s="759">
        <v>65126151</v>
      </c>
      <c r="N54" s="754">
        <v>85.904376329726801</v>
      </c>
    </row>
    <row r="55" spans="1:14">
      <c r="A55" s="729"/>
      <c r="B55" s="748" t="s">
        <v>131</v>
      </c>
      <c r="C55" s="768" t="s">
        <v>132</v>
      </c>
      <c r="D55" s="753"/>
      <c r="E55" s="753"/>
      <c r="F55" s="753"/>
      <c r="G55" s="753"/>
      <c r="H55" s="753"/>
      <c r="I55" s="753"/>
      <c r="J55" s="753"/>
      <c r="K55" s="753"/>
      <c r="L55" s="753"/>
      <c r="M55" s="753"/>
      <c r="N55" s="770"/>
    </row>
    <row r="56" spans="1:14">
      <c r="A56" s="729"/>
      <c r="B56" s="748"/>
      <c r="C56" s="767" t="s">
        <v>123</v>
      </c>
      <c r="D56" s="759">
        <v>0</v>
      </c>
      <c r="E56" s="759">
        <v>0</v>
      </c>
      <c r="F56" s="759">
        <v>0</v>
      </c>
      <c r="G56" s="759">
        <v>0</v>
      </c>
      <c r="H56" s="759">
        <v>0</v>
      </c>
      <c r="I56" s="759">
        <v>0</v>
      </c>
      <c r="J56" s="759">
        <v>0</v>
      </c>
      <c r="K56" s="759">
        <v>0</v>
      </c>
      <c r="L56" s="759">
        <v>0</v>
      </c>
      <c r="M56" s="759">
        <v>0</v>
      </c>
      <c r="N56" s="754"/>
    </row>
    <row r="57" spans="1:14">
      <c r="A57" s="729"/>
      <c r="B57" s="748"/>
      <c r="C57" s="767" t="s">
        <v>135</v>
      </c>
      <c r="D57" s="759">
        <v>3881625</v>
      </c>
      <c r="E57" s="759">
        <v>100</v>
      </c>
      <c r="F57" s="759">
        <v>300348</v>
      </c>
      <c r="G57" s="759">
        <v>100</v>
      </c>
      <c r="H57" s="759">
        <v>6080998</v>
      </c>
      <c r="I57" s="759">
        <v>100</v>
      </c>
      <c r="J57" s="759">
        <v>5780650</v>
      </c>
      <c r="K57" s="759">
        <v>3144920</v>
      </c>
      <c r="L57" s="759">
        <v>100</v>
      </c>
      <c r="M57" s="759">
        <v>2936078</v>
      </c>
      <c r="N57" s="754">
        <v>51.717168793674986</v>
      </c>
    </row>
    <row r="58" spans="1:14">
      <c r="A58" s="729"/>
      <c r="B58" s="748"/>
      <c r="C58" s="767" t="s">
        <v>136</v>
      </c>
      <c r="D58" s="759">
        <v>3881625</v>
      </c>
      <c r="E58" s="759">
        <v>100</v>
      </c>
      <c r="F58" s="759">
        <v>300348</v>
      </c>
      <c r="G58" s="759">
        <v>100</v>
      </c>
      <c r="H58" s="759">
        <v>6080998</v>
      </c>
      <c r="I58" s="759">
        <v>100</v>
      </c>
      <c r="J58" s="759">
        <v>5780650</v>
      </c>
      <c r="K58" s="759">
        <v>3144920</v>
      </c>
      <c r="L58" s="759">
        <v>100</v>
      </c>
      <c r="M58" s="759">
        <v>2936078</v>
      </c>
      <c r="N58" s="754">
        <v>51.717168793674986</v>
      </c>
    </row>
    <row r="59" spans="1:14">
      <c r="A59" s="729"/>
      <c r="B59" s="748" t="s">
        <v>131</v>
      </c>
      <c r="C59" s="768" t="s">
        <v>132</v>
      </c>
      <c r="D59" s="753"/>
      <c r="E59" s="753"/>
      <c r="F59" s="753"/>
      <c r="G59" s="753"/>
      <c r="H59" s="753"/>
      <c r="I59" s="753"/>
      <c r="J59" s="753"/>
      <c r="K59" s="753"/>
      <c r="L59" s="753"/>
      <c r="M59" s="753"/>
      <c r="N59" s="770"/>
    </row>
    <row r="60" spans="1:14" ht="22.5">
      <c r="A60" s="729"/>
      <c r="B60" s="748" t="s">
        <v>392</v>
      </c>
      <c r="C60" s="768" t="s">
        <v>393</v>
      </c>
      <c r="D60" s="753">
        <v>3881625</v>
      </c>
      <c r="E60" s="753">
        <v>100</v>
      </c>
      <c r="F60" s="753">
        <v>300348</v>
      </c>
      <c r="G60" s="753">
        <v>100</v>
      </c>
      <c r="H60" s="753">
        <v>6080998</v>
      </c>
      <c r="I60" s="753">
        <v>100</v>
      </c>
      <c r="J60" s="753">
        <v>5780650</v>
      </c>
      <c r="K60" s="753">
        <v>3144920</v>
      </c>
      <c r="L60" s="753">
        <v>100</v>
      </c>
      <c r="M60" s="753">
        <v>2936078</v>
      </c>
      <c r="N60" s="770">
        <v>51.717168793674986</v>
      </c>
    </row>
    <row r="61" spans="1:14" ht="12" thickBot="1">
      <c r="A61" s="729"/>
      <c r="B61" s="748"/>
      <c r="C61" s="767" t="s">
        <v>128</v>
      </c>
      <c r="D61" s="758">
        <v>1175755041</v>
      </c>
      <c r="E61" s="758">
        <v>100</v>
      </c>
      <c r="F61" s="758">
        <v>1427000000</v>
      </c>
      <c r="G61" s="758">
        <v>100</v>
      </c>
      <c r="H61" s="758">
        <v>1451801855</v>
      </c>
      <c r="I61" s="758">
        <v>100</v>
      </c>
      <c r="J61" s="758">
        <v>30582505</v>
      </c>
      <c r="K61" s="758">
        <v>1342870806</v>
      </c>
      <c r="L61" s="759">
        <v>100</v>
      </c>
      <c r="M61" s="758">
        <v>108931049</v>
      </c>
      <c r="N61" s="754">
        <v>100</v>
      </c>
    </row>
    <row r="62" spans="1:14" ht="12" thickTop="1">
      <c r="A62" s="729"/>
      <c r="B62" s="1182"/>
      <c r="C62" s="1182"/>
      <c r="D62" s="1182"/>
      <c r="E62" s="1182"/>
      <c r="F62" s="1182"/>
      <c r="G62" s="1182"/>
      <c r="H62" s="1182"/>
      <c r="I62" s="1182"/>
      <c r="J62" s="1182"/>
      <c r="K62" s="1182"/>
      <c r="L62" s="1182"/>
      <c r="M62" s="1182"/>
      <c r="N62" s="1182"/>
    </row>
  </sheetData>
  <mergeCells count="22">
    <mergeCell ref="B13:C13"/>
    <mergeCell ref="B34:C34"/>
    <mergeCell ref="B62:N62"/>
    <mergeCell ref="A5:A6"/>
    <mergeCell ref="B6:B7"/>
    <mergeCell ref="C6:E7"/>
    <mergeCell ref="F6:G7"/>
    <mergeCell ref="H6:N7"/>
    <mergeCell ref="B9:C12"/>
    <mergeCell ref="D9:N9"/>
    <mergeCell ref="F10:G10"/>
    <mergeCell ref="H10:I10"/>
    <mergeCell ref="K10:L10"/>
    <mergeCell ref="M10:M11"/>
    <mergeCell ref="N10:N11"/>
    <mergeCell ref="D10:E10"/>
    <mergeCell ref="B2:N2"/>
    <mergeCell ref="B3:N3"/>
    <mergeCell ref="B4:N4"/>
    <mergeCell ref="C8:E8"/>
    <mergeCell ref="F8:G8"/>
    <mergeCell ref="H8:N8"/>
  </mergeCells>
  <pageMargins left="0.17" right="0.17" top="0.17" bottom="0.17" header="0.17" footer="0.17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N47"/>
  <sheetViews>
    <sheetView workbookViewId="0">
      <pane xSplit="5" ySplit="12" topLeftCell="F19" activePane="bottomRight" state="frozen"/>
      <selection pane="topRight" activeCell="F1" sqref="F1"/>
      <selection pane="bottomLeft" activeCell="A13" sqref="A13"/>
      <selection pane="bottomRight" activeCell="J30" sqref="J30"/>
    </sheetView>
  </sheetViews>
  <sheetFormatPr defaultRowHeight="15"/>
  <cols>
    <col min="1" max="1" width="3.28515625" style="773" customWidth="1"/>
    <col min="2" max="2" width="20.42578125" style="773" customWidth="1"/>
    <col min="3" max="3" width="33.28515625" style="773" customWidth="1"/>
    <col min="4" max="4" width="14.7109375" style="773" customWidth="1"/>
    <col min="5" max="5" width="7.5703125" style="773" customWidth="1"/>
    <col min="6" max="6" width="11" style="51" customWidth="1"/>
    <col min="7" max="7" width="8.5703125" style="51" customWidth="1"/>
    <col min="8" max="8" width="13.28515625" style="42" customWidth="1"/>
    <col min="9" max="9" width="8.42578125" style="42" customWidth="1"/>
    <col min="10" max="10" width="12" style="42" customWidth="1"/>
    <col min="11" max="11" width="13.28515625" style="773" customWidth="1"/>
    <col min="12" max="12" width="7.140625" style="773" customWidth="1"/>
    <col min="13" max="13" width="6.5703125" style="773" customWidth="1"/>
    <col min="14" max="14" width="7.7109375" style="773" customWidth="1"/>
    <col min="15" max="16384" width="9.140625" style="773"/>
  </cols>
  <sheetData>
    <row r="1" spans="1:14">
      <c r="A1" s="771"/>
      <c r="B1" s="772"/>
      <c r="C1" s="771"/>
      <c r="D1" s="771"/>
      <c r="E1" s="771"/>
      <c r="F1" s="50"/>
      <c r="G1" s="50"/>
      <c r="H1" s="310"/>
      <c r="I1" s="310"/>
      <c r="J1" s="310"/>
      <c r="K1" s="771"/>
      <c r="L1" s="771"/>
      <c r="M1" s="771"/>
      <c r="N1" s="771"/>
    </row>
    <row r="2" spans="1:14">
      <c r="A2" s="771"/>
      <c r="B2" s="1208" t="s">
        <v>112</v>
      </c>
      <c r="C2" s="1208"/>
      <c r="D2" s="1208"/>
      <c r="E2" s="1208"/>
      <c r="F2" s="1208"/>
      <c r="G2" s="1208"/>
      <c r="H2" s="1208"/>
      <c r="I2" s="1208"/>
      <c r="J2" s="1208"/>
      <c r="K2" s="1208"/>
      <c r="L2" s="1208"/>
      <c r="M2" s="1208"/>
      <c r="N2" s="1208"/>
    </row>
    <row r="3" spans="1:14">
      <c r="A3" s="771"/>
      <c r="B3" s="1209" t="s">
        <v>196</v>
      </c>
      <c r="C3" s="1209"/>
      <c r="D3" s="1209"/>
      <c r="E3" s="1209"/>
      <c r="F3" s="1209"/>
      <c r="G3" s="1209"/>
      <c r="H3" s="1209"/>
      <c r="I3" s="1209"/>
      <c r="J3" s="1209"/>
      <c r="K3" s="1209"/>
      <c r="L3" s="1209"/>
      <c r="M3" s="1209"/>
      <c r="N3" s="1209"/>
    </row>
    <row r="4" spans="1:14">
      <c r="A4" s="771"/>
      <c r="B4" s="1210" t="s">
        <v>1</v>
      </c>
      <c r="C4" s="1210"/>
      <c r="D4" s="1210"/>
      <c r="E4" s="1210"/>
      <c r="F4" s="1210"/>
      <c r="G4" s="1210"/>
      <c r="H4" s="1210"/>
      <c r="I4" s="1210"/>
      <c r="J4" s="1210"/>
      <c r="K4" s="1210"/>
      <c r="L4" s="1210"/>
      <c r="M4" s="1210"/>
      <c r="N4" s="1210"/>
    </row>
    <row r="5" spans="1:14" ht="15.75" thickBot="1">
      <c r="A5" s="1196"/>
      <c r="B5" s="771"/>
      <c r="C5" s="771"/>
      <c r="D5" s="771"/>
      <c r="E5" s="771"/>
      <c r="F5" s="50"/>
      <c r="G5" s="50"/>
      <c r="H5" s="310"/>
      <c r="I5" s="310"/>
      <c r="J5" s="310"/>
      <c r="K5" s="771"/>
      <c r="L5" s="771"/>
      <c r="M5" s="771"/>
      <c r="N5" s="771"/>
    </row>
    <row r="6" spans="1:14" ht="16.5" thickTop="1" thickBot="1">
      <c r="A6" s="1196"/>
      <c r="B6" s="1211" t="s">
        <v>113</v>
      </c>
      <c r="C6" s="1212" t="s">
        <v>197</v>
      </c>
      <c r="D6" s="1212"/>
      <c r="E6" s="1212"/>
      <c r="F6" s="1213" t="s">
        <v>3</v>
      </c>
      <c r="G6" s="1213"/>
      <c r="H6" s="1214" t="s">
        <v>221</v>
      </c>
      <c r="I6" s="1214"/>
      <c r="J6" s="1214"/>
      <c r="K6" s="1214"/>
      <c r="L6" s="1214"/>
      <c r="M6" s="1214"/>
      <c r="N6" s="1214"/>
    </row>
    <row r="7" spans="1:14" ht="15.75" thickTop="1">
      <c r="A7" s="771"/>
      <c r="B7" s="1211"/>
      <c r="C7" s="1212"/>
      <c r="D7" s="1212"/>
      <c r="E7" s="1212"/>
      <c r="F7" s="1213"/>
      <c r="G7" s="1213"/>
      <c r="H7" s="1214"/>
      <c r="I7" s="1214"/>
      <c r="J7" s="1214"/>
      <c r="K7" s="1214"/>
      <c r="L7" s="1214"/>
      <c r="M7" s="1214"/>
      <c r="N7" s="1214"/>
    </row>
    <row r="8" spans="1:14">
      <c r="A8" s="771"/>
      <c r="B8" s="774" t="s">
        <v>114</v>
      </c>
      <c r="C8" s="1200" t="s">
        <v>193</v>
      </c>
      <c r="D8" s="1200"/>
      <c r="E8" s="1200"/>
      <c r="F8" s="1201" t="s">
        <v>115</v>
      </c>
      <c r="G8" s="1201"/>
      <c r="H8" s="1202" t="s">
        <v>192</v>
      </c>
      <c r="I8" s="1202"/>
      <c r="J8" s="1202"/>
      <c r="K8" s="1202"/>
      <c r="L8" s="1202"/>
      <c r="M8" s="1202"/>
      <c r="N8" s="1202"/>
    </row>
    <row r="9" spans="1:14" ht="15.75" thickBot="1">
      <c r="A9" s="771"/>
      <c r="B9" s="1203" t="s">
        <v>4</v>
      </c>
      <c r="C9" s="1203"/>
      <c r="D9" s="1204" t="s">
        <v>116</v>
      </c>
      <c r="E9" s="1204"/>
      <c r="F9" s="1204"/>
      <c r="G9" s="1204"/>
      <c r="H9" s="1204"/>
      <c r="I9" s="1204"/>
      <c r="J9" s="1204"/>
      <c r="K9" s="1204"/>
      <c r="L9" s="1204"/>
      <c r="M9" s="1204"/>
      <c r="N9" s="1204"/>
    </row>
    <row r="10" spans="1:14" ht="16.5" thickTop="1" thickBot="1">
      <c r="A10" s="771"/>
      <c r="B10" s="1203"/>
      <c r="C10" s="1203"/>
      <c r="D10" s="775" t="s">
        <v>117</v>
      </c>
      <c r="E10" s="776">
        <v>2024</v>
      </c>
      <c r="F10" s="1205" t="s">
        <v>6</v>
      </c>
      <c r="G10" s="1205"/>
      <c r="H10" s="1206" t="s">
        <v>6</v>
      </c>
      <c r="I10" s="1206"/>
      <c r="J10" s="777" t="s">
        <v>6</v>
      </c>
      <c r="K10" s="1205" t="s">
        <v>6</v>
      </c>
      <c r="L10" s="1205"/>
      <c r="M10" s="1207" t="s">
        <v>118</v>
      </c>
      <c r="N10" s="1199" t="s">
        <v>8</v>
      </c>
    </row>
    <row r="11" spans="1:14" ht="46.5" thickTop="1" thickBot="1">
      <c r="A11" s="771"/>
      <c r="B11" s="1203"/>
      <c r="C11" s="1203"/>
      <c r="D11" s="778" t="s">
        <v>119</v>
      </c>
      <c r="E11" s="779" t="s">
        <v>10</v>
      </c>
      <c r="F11" s="780" t="s">
        <v>182</v>
      </c>
      <c r="G11" s="781" t="s">
        <v>10</v>
      </c>
      <c r="H11" s="782" t="s">
        <v>183</v>
      </c>
      <c r="I11" s="783" t="s">
        <v>10</v>
      </c>
      <c r="J11" s="784" t="s">
        <v>120</v>
      </c>
      <c r="K11" s="780" t="s">
        <v>12</v>
      </c>
      <c r="L11" s="781" t="s">
        <v>10</v>
      </c>
      <c r="M11" s="1207"/>
      <c r="N11" s="1199"/>
    </row>
    <row r="12" spans="1:14" ht="16.5" thickTop="1" thickBot="1">
      <c r="A12" s="771"/>
      <c r="B12" s="1203"/>
      <c r="C12" s="1203"/>
      <c r="D12" s="785" t="s">
        <v>13</v>
      </c>
      <c r="E12" s="785" t="s">
        <v>14</v>
      </c>
      <c r="F12" s="785" t="s">
        <v>15</v>
      </c>
      <c r="G12" s="785" t="s">
        <v>16</v>
      </c>
      <c r="H12" s="786" t="s">
        <v>17</v>
      </c>
      <c r="I12" s="786" t="s">
        <v>18</v>
      </c>
      <c r="J12" s="786" t="s">
        <v>19</v>
      </c>
      <c r="K12" s="785" t="s">
        <v>20</v>
      </c>
      <c r="L12" s="785" t="s">
        <v>21</v>
      </c>
      <c r="M12" s="785" t="s">
        <v>22</v>
      </c>
      <c r="N12" s="787" t="s">
        <v>23</v>
      </c>
    </row>
    <row r="13" spans="1:14" s="42" customFormat="1" ht="15.75" thickTop="1">
      <c r="A13" s="310"/>
      <c r="B13" s="1197" t="s">
        <v>32</v>
      </c>
      <c r="C13" s="1197"/>
      <c r="D13" s="788"/>
      <c r="E13" s="789"/>
      <c r="F13" s="788"/>
      <c r="G13" s="789"/>
      <c r="H13" s="788"/>
      <c r="I13" s="789"/>
      <c r="J13" s="790"/>
      <c r="K13" s="788"/>
      <c r="L13" s="789"/>
      <c r="M13" s="788"/>
      <c r="N13" s="791"/>
    </row>
    <row r="14" spans="1:14" s="42" customFormat="1">
      <c r="A14" s="310"/>
      <c r="B14" s="792" t="s">
        <v>25</v>
      </c>
      <c r="C14" s="793" t="s">
        <v>26</v>
      </c>
      <c r="D14" s="788"/>
      <c r="E14" s="789"/>
      <c r="F14" s="788"/>
      <c r="G14" s="789"/>
      <c r="H14" s="788"/>
      <c r="I14" s="789"/>
      <c r="J14" s="794"/>
      <c r="K14" s="788"/>
      <c r="L14" s="789"/>
      <c r="M14" s="788"/>
      <c r="N14" s="791"/>
    </row>
    <row r="15" spans="1:14" s="42" customFormat="1">
      <c r="A15" s="310"/>
      <c r="B15" s="795" t="s">
        <v>34</v>
      </c>
      <c r="C15" s="796" t="s">
        <v>35</v>
      </c>
      <c r="D15" s="797">
        <v>0</v>
      </c>
      <c r="E15" s="798">
        <v>0</v>
      </c>
      <c r="F15" s="799">
        <v>0</v>
      </c>
      <c r="G15" s="799">
        <v>0</v>
      </c>
      <c r="H15" s="798">
        <v>0</v>
      </c>
      <c r="I15" s="798">
        <v>0</v>
      </c>
      <c r="J15" s="798">
        <v>0</v>
      </c>
      <c r="K15" s="797">
        <v>0</v>
      </c>
      <c r="L15" s="798">
        <v>0</v>
      </c>
      <c r="M15" s="798">
        <v>0</v>
      </c>
      <c r="N15" s="800">
        <v>0</v>
      </c>
    </row>
    <row r="16" spans="1:14" s="42" customFormat="1">
      <c r="A16" s="310"/>
      <c r="B16" s="795" t="s">
        <v>36</v>
      </c>
      <c r="C16" s="796" t="s">
        <v>37</v>
      </c>
      <c r="D16" s="797">
        <v>0</v>
      </c>
      <c r="E16" s="798">
        <v>0</v>
      </c>
      <c r="F16" s="799">
        <v>0</v>
      </c>
      <c r="G16" s="799">
        <v>0</v>
      </c>
      <c r="H16" s="798">
        <v>0</v>
      </c>
      <c r="I16" s="798">
        <v>0</v>
      </c>
      <c r="J16" s="798">
        <v>0</v>
      </c>
      <c r="K16" s="797">
        <v>0</v>
      </c>
      <c r="L16" s="798">
        <v>0</v>
      </c>
      <c r="M16" s="798">
        <v>0</v>
      </c>
      <c r="N16" s="800">
        <v>0</v>
      </c>
    </row>
    <row r="17" spans="1:14" s="42" customFormat="1">
      <c r="A17" s="310"/>
      <c r="B17" s="795" t="s">
        <v>38</v>
      </c>
      <c r="C17" s="796" t="s">
        <v>39</v>
      </c>
      <c r="D17" s="797">
        <v>0</v>
      </c>
      <c r="E17" s="798">
        <v>0</v>
      </c>
      <c r="F17" s="799">
        <v>0</v>
      </c>
      <c r="G17" s="799">
        <v>0</v>
      </c>
      <c r="H17" s="798">
        <v>0</v>
      </c>
      <c r="I17" s="798">
        <v>0</v>
      </c>
      <c r="J17" s="798">
        <v>0</v>
      </c>
      <c r="K17" s="797">
        <v>0</v>
      </c>
      <c r="L17" s="798">
        <v>0</v>
      </c>
      <c r="M17" s="798">
        <v>0</v>
      </c>
      <c r="N17" s="800">
        <v>0</v>
      </c>
    </row>
    <row r="18" spans="1:14" s="42" customFormat="1">
      <c r="A18" s="310"/>
      <c r="B18" s="795" t="s">
        <v>40</v>
      </c>
      <c r="C18" s="796" t="s">
        <v>41</v>
      </c>
      <c r="D18" s="797">
        <v>0</v>
      </c>
      <c r="E18" s="798">
        <v>0</v>
      </c>
      <c r="F18" s="799">
        <v>0</v>
      </c>
      <c r="G18" s="799">
        <v>0</v>
      </c>
      <c r="H18" s="798">
        <v>0</v>
      </c>
      <c r="I18" s="798">
        <v>0</v>
      </c>
      <c r="J18" s="798">
        <v>0</v>
      </c>
      <c r="K18" s="797">
        <v>0</v>
      </c>
      <c r="L18" s="798">
        <v>0</v>
      </c>
      <c r="M18" s="798">
        <v>0</v>
      </c>
      <c r="N18" s="800">
        <v>0</v>
      </c>
    </row>
    <row r="19" spans="1:14" s="42" customFormat="1">
      <c r="A19" s="310"/>
      <c r="B19" s="795" t="s">
        <v>42</v>
      </c>
      <c r="C19" s="796" t="s">
        <v>43</v>
      </c>
      <c r="D19" s="797">
        <v>5243000000</v>
      </c>
      <c r="E19" s="799">
        <v>100</v>
      </c>
      <c r="F19" s="799">
        <v>5200000000</v>
      </c>
      <c r="G19" s="799">
        <v>48.1</v>
      </c>
      <c r="H19" s="798">
        <f>'[3]aneksi 3.0'!L16</f>
        <v>5228958000</v>
      </c>
      <c r="I19" s="798">
        <f>H19/H22*100</f>
        <v>100</v>
      </c>
      <c r="J19" s="798">
        <f>H19-F19</f>
        <v>28958000</v>
      </c>
      <c r="K19" s="797">
        <f>H19</f>
        <v>5228958000</v>
      </c>
      <c r="L19" s="798">
        <v>100</v>
      </c>
      <c r="M19" s="798">
        <f>H19-K19</f>
        <v>0</v>
      </c>
      <c r="N19" s="800">
        <f>K19/H19*100</f>
        <v>100</v>
      </c>
    </row>
    <row r="20" spans="1:14" s="42" customFormat="1">
      <c r="A20" s="310"/>
      <c r="B20" s="795" t="s">
        <v>44</v>
      </c>
      <c r="C20" s="796" t="s">
        <v>45</v>
      </c>
      <c r="D20" s="797">
        <v>0</v>
      </c>
      <c r="E20" s="798">
        <v>0</v>
      </c>
      <c r="F20" s="799">
        <v>0</v>
      </c>
      <c r="G20" s="799">
        <v>0</v>
      </c>
      <c r="H20" s="798">
        <v>0</v>
      </c>
      <c r="I20" s="798">
        <v>0</v>
      </c>
      <c r="J20" s="798">
        <f t="shared" ref="J20:J30" si="0">H20-F20</f>
        <v>0</v>
      </c>
      <c r="K20" s="797">
        <f t="shared" ref="K20:K32" si="1">H20</f>
        <v>0</v>
      </c>
      <c r="L20" s="798">
        <v>0</v>
      </c>
      <c r="M20" s="798">
        <f t="shared" ref="M20:M31" si="2">H20-K20</f>
        <v>0</v>
      </c>
      <c r="N20" s="797">
        <f t="shared" ref="N20:N21" si="3">K20</f>
        <v>0</v>
      </c>
    </row>
    <row r="21" spans="1:14" s="42" customFormat="1">
      <c r="A21" s="310"/>
      <c r="B21" s="795" t="s">
        <v>46</v>
      </c>
      <c r="C21" s="796" t="s">
        <v>47</v>
      </c>
      <c r="D21" s="797">
        <v>0</v>
      </c>
      <c r="E21" s="798">
        <v>0</v>
      </c>
      <c r="F21" s="799">
        <v>0</v>
      </c>
      <c r="G21" s="799">
        <v>0</v>
      </c>
      <c r="H21" s="798">
        <v>0</v>
      </c>
      <c r="I21" s="798">
        <v>0</v>
      </c>
      <c r="J21" s="798">
        <f t="shared" si="0"/>
        <v>0</v>
      </c>
      <c r="K21" s="797">
        <f t="shared" si="1"/>
        <v>0</v>
      </c>
      <c r="L21" s="798">
        <v>0</v>
      </c>
      <c r="M21" s="798">
        <f t="shared" si="2"/>
        <v>0</v>
      </c>
      <c r="N21" s="797">
        <f t="shared" si="3"/>
        <v>0</v>
      </c>
    </row>
    <row r="22" spans="1:14" s="42" customFormat="1">
      <c r="A22" s="310"/>
      <c r="B22" s="801"/>
      <c r="C22" s="802" t="s">
        <v>121</v>
      </c>
      <c r="D22" s="803">
        <v>5243000000</v>
      </c>
      <c r="E22" s="799">
        <v>100</v>
      </c>
      <c r="F22" s="799">
        <v>5200000000</v>
      </c>
      <c r="G22" s="799">
        <v>48.1</v>
      </c>
      <c r="H22" s="799">
        <f>H19</f>
        <v>5228958000</v>
      </c>
      <c r="I22" s="799">
        <f>H19/H22*100</f>
        <v>100</v>
      </c>
      <c r="J22" s="798">
        <f t="shared" si="0"/>
        <v>28958000</v>
      </c>
      <c r="K22" s="797">
        <f t="shared" si="1"/>
        <v>5228958000</v>
      </c>
      <c r="L22" s="799">
        <v>100</v>
      </c>
      <c r="M22" s="798">
        <f t="shared" si="2"/>
        <v>0</v>
      </c>
      <c r="N22" s="804">
        <f t="shared" ref="N22:N30" si="4">K22/H22*100</f>
        <v>100</v>
      </c>
    </row>
    <row r="23" spans="1:14" s="42" customFormat="1">
      <c r="A23" s="310"/>
      <c r="B23" s="795" t="s">
        <v>49</v>
      </c>
      <c r="C23" s="796" t="s">
        <v>50</v>
      </c>
      <c r="D23" s="797">
        <v>0</v>
      </c>
      <c r="E23" s="798">
        <v>0</v>
      </c>
      <c r="F23" s="799">
        <v>0</v>
      </c>
      <c r="G23" s="799">
        <v>0</v>
      </c>
      <c r="H23" s="798">
        <v>0</v>
      </c>
      <c r="I23" s="798">
        <v>0</v>
      </c>
      <c r="J23" s="798">
        <f t="shared" si="0"/>
        <v>0</v>
      </c>
      <c r="K23" s="797">
        <f t="shared" si="1"/>
        <v>0</v>
      </c>
      <c r="L23" s="798">
        <v>0</v>
      </c>
      <c r="M23" s="798">
        <f t="shared" si="2"/>
        <v>0</v>
      </c>
      <c r="N23" s="797">
        <f t="shared" ref="N23:N29" si="5">K23</f>
        <v>0</v>
      </c>
    </row>
    <row r="24" spans="1:14" s="42" customFormat="1">
      <c r="A24" s="310"/>
      <c r="B24" s="795" t="s">
        <v>51</v>
      </c>
      <c r="C24" s="796" t="s">
        <v>52</v>
      </c>
      <c r="D24" s="797">
        <v>0</v>
      </c>
      <c r="E24" s="798">
        <v>0</v>
      </c>
      <c r="F24" s="799">
        <v>0</v>
      </c>
      <c r="G24" s="799">
        <v>0</v>
      </c>
      <c r="H24" s="798">
        <v>0</v>
      </c>
      <c r="I24" s="798">
        <v>0</v>
      </c>
      <c r="J24" s="798">
        <f t="shared" si="0"/>
        <v>0</v>
      </c>
      <c r="K24" s="797">
        <f t="shared" si="1"/>
        <v>0</v>
      </c>
      <c r="L24" s="798">
        <v>0</v>
      </c>
      <c r="M24" s="798">
        <f t="shared" si="2"/>
        <v>0</v>
      </c>
      <c r="N24" s="797">
        <f t="shared" si="5"/>
        <v>0</v>
      </c>
    </row>
    <row r="25" spans="1:14" s="42" customFormat="1">
      <c r="A25" s="310"/>
      <c r="B25" s="801"/>
      <c r="C25" s="802" t="s">
        <v>122</v>
      </c>
      <c r="D25" s="803">
        <v>0</v>
      </c>
      <c r="E25" s="799">
        <v>0</v>
      </c>
      <c r="F25" s="799">
        <v>0</v>
      </c>
      <c r="G25" s="799">
        <v>0</v>
      </c>
      <c r="H25" s="799">
        <v>0</v>
      </c>
      <c r="I25" s="799">
        <v>0</v>
      </c>
      <c r="J25" s="798">
        <f t="shared" si="0"/>
        <v>0</v>
      </c>
      <c r="K25" s="797">
        <f t="shared" si="1"/>
        <v>0</v>
      </c>
      <c r="L25" s="799">
        <v>0</v>
      </c>
      <c r="M25" s="798">
        <f t="shared" si="2"/>
        <v>0</v>
      </c>
      <c r="N25" s="797">
        <f t="shared" si="5"/>
        <v>0</v>
      </c>
    </row>
    <row r="26" spans="1:14" s="42" customFormat="1">
      <c r="A26" s="310"/>
      <c r="B26" s="795" t="s">
        <v>49</v>
      </c>
      <c r="C26" s="796" t="s">
        <v>50</v>
      </c>
      <c r="D26" s="797">
        <v>0</v>
      </c>
      <c r="E26" s="798">
        <v>0</v>
      </c>
      <c r="F26" s="799">
        <v>0</v>
      </c>
      <c r="G26" s="799">
        <v>0</v>
      </c>
      <c r="H26" s="798">
        <v>0</v>
      </c>
      <c r="I26" s="798">
        <v>0</v>
      </c>
      <c r="J26" s="798">
        <f t="shared" si="0"/>
        <v>0</v>
      </c>
      <c r="K26" s="797">
        <f t="shared" si="1"/>
        <v>0</v>
      </c>
      <c r="L26" s="798">
        <v>0</v>
      </c>
      <c r="M26" s="798">
        <f t="shared" si="2"/>
        <v>0</v>
      </c>
      <c r="N26" s="797">
        <f t="shared" si="5"/>
        <v>0</v>
      </c>
    </row>
    <row r="27" spans="1:14" s="42" customFormat="1">
      <c r="A27" s="310"/>
      <c r="B27" s="795" t="s">
        <v>51</v>
      </c>
      <c r="C27" s="796" t="s">
        <v>52</v>
      </c>
      <c r="D27" s="797">
        <v>0</v>
      </c>
      <c r="E27" s="798">
        <v>0</v>
      </c>
      <c r="F27" s="799">
        <v>0</v>
      </c>
      <c r="G27" s="799">
        <v>0</v>
      </c>
      <c r="H27" s="798">
        <v>0</v>
      </c>
      <c r="I27" s="798">
        <v>0</v>
      </c>
      <c r="J27" s="798">
        <f t="shared" si="0"/>
        <v>0</v>
      </c>
      <c r="K27" s="797">
        <f t="shared" si="1"/>
        <v>0</v>
      </c>
      <c r="L27" s="798">
        <v>0</v>
      </c>
      <c r="M27" s="798">
        <f t="shared" si="2"/>
        <v>0</v>
      </c>
      <c r="N27" s="797">
        <f t="shared" si="5"/>
        <v>0</v>
      </c>
    </row>
    <row r="28" spans="1:14" s="42" customFormat="1">
      <c r="A28" s="310"/>
      <c r="B28" s="801"/>
      <c r="C28" s="802" t="s">
        <v>123</v>
      </c>
      <c r="D28" s="803">
        <v>0</v>
      </c>
      <c r="E28" s="799">
        <v>0</v>
      </c>
      <c r="F28" s="799">
        <v>0</v>
      </c>
      <c r="G28" s="799">
        <v>0</v>
      </c>
      <c r="H28" s="799">
        <v>0</v>
      </c>
      <c r="I28" s="799">
        <v>0</v>
      </c>
      <c r="J28" s="798">
        <f t="shared" si="0"/>
        <v>0</v>
      </c>
      <c r="K28" s="797">
        <f t="shared" si="1"/>
        <v>0</v>
      </c>
      <c r="L28" s="799">
        <v>0</v>
      </c>
      <c r="M28" s="798">
        <f t="shared" si="2"/>
        <v>0</v>
      </c>
      <c r="N28" s="797">
        <f t="shared" si="5"/>
        <v>0</v>
      </c>
    </row>
    <row r="29" spans="1:14" s="42" customFormat="1">
      <c r="A29" s="310"/>
      <c r="B29" s="801"/>
      <c r="C29" s="802" t="s">
        <v>124</v>
      </c>
      <c r="D29" s="803">
        <v>0</v>
      </c>
      <c r="E29" s="799">
        <v>0</v>
      </c>
      <c r="F29" s="799">
        <v>0</v>
      </c>
      <c r="G29" s="799">
        <v>0</v>
      </c>
      <c r="H29" s="799">
        <v>0</v>
      </c>
      <c r="I29" s="799">
        <v>0</v>
      </c>
      <c r="J29" s="798">
        <f t="shared" si="0"/>
        <v>0</v>
      </c>
      <c r="K29" s="797">
        <f t="shared" si="1"/>
        <v>0</v>
      </c>
      <c r="L29" s="799">
        <v>0</v>
      </c>
      <c r="M29" s="798">
        <f t="shared" si="2"/>
        <v>0</v>
      </c>
      <c r="N29" s="797">
        <f t="shared" si="5"/>
        <v>0</v>
      </c>
    </row>
    <row r="30" spans="1:14" s="42" customFormat="1">
      <c r="A30" s="310"/>
      <c r="B30" s="801"/>
      <c r="C30" s="802" t="s">
        <v>125</v>
      </c>
      <c r="D30" s="803">
        <v>5243000000</v>
      </c>
      <c r="E30" s="799">
        <v>100</v>
      </c>
      <c r="F30" s="799">
        <v>5200000000</v>
      </c>
      <c r="G30" s="799">
        <v>48.1</v>
      </c>
      <c r="H30" s="799">
        <f>H22</f>
        <v>5228958000</v>
      </c>
      <c r="I30" s="799">
        <f>H22/H30*100</f>
        <v>100</v>
      </c>
      <c r="J30" s="798">
        <f t="shared" si="0"/>
        <v>28958000</v>
      </c>
      <c r="K30" s="797">
        <f t="shared" si="1"/>
        <v>5228958000</v>
      </c>
      <c r="L30" s="799">
        <v>100</v>
      </c>
      <c r="M30" s="798">
        <f t="shared" si="2"/>
        <v>0</v>
      </c>
      <c r="N30" s="804">
        <f t="shared" si="4"/>
        <v>100</v>
      </c>
    </row>
    <row r="31" spans="1:14" s="42" customFormat="1">
      <c r="A31" s="310"/>
      <c r="B31" s="801"/>
      <c r="C31" s="802" t="s">
        <v>126</v>
      </c>
      <c r="D31" s="803">
        <v>0</v>
      </c>
      <c r="E31" s="799"/>
      <c r="F31" s="799"/>
      <c r="G31" s="799"/>
      <c r="H31" s="799"/>
      <c r="I31" s="799"/>
      <c r="J31" s="799"/>
      <c r="K31" s="797">
        <f>H31</f>
        <v>0</v>
      </c>
      <c r="L31" s="799"/>
      <c r="M31" s="798">
        <f t="shared" si="2"/>
        <v>0</v>
      </c>
      <c r="N31" s="804"/>
    </row>
    <row r="32" spans="1:14" s="42" customFormat="1">
      <c r="A32" s="310"/>
      <c r="B32" s="801"/>
      <c r="C32" s="802" t="s">
        <v>127</v>
      </c>
      <c r="D32" s="803">
        <v>0</v>
      </c>
      <c r="E32" s="799"/>
      <c r="F32" s="799"/>
      <c r="G32" s="799"/>
      <c r="H32" s="799"/>
      <c r="I32" s="799"/>
      <c r="J32" s="799"/>
      <c r="K32" s="797">
        <f t="shared" si="1"/>
        <v>0</v>
      </c>
      <c r="L32" s="799"/>
      <c r="M32" s="799"/>
      <c r="N32" s="804"/>
    </row>
    <row r="33" spans="1:14" s="42" customFormat="1" ht="15.75" thickBot="1">
      <c r="A33" s="310"/>
      <c r="B33" s="801"/>
      <c r="C33" s="802" t="s">
        <v>128</v>
      </c>
      <c r="D33" s="803">
        <v>5243000000</v>
      </c>
      <c r="E33" s="799"/>
      <c r="F33" s="799"/>
      <c r="G33" s="799"/>
      <c r="H33" s="799"/>
      <c r="I33" s="799"/>
      <c r="J33" s="799"/>
      <c r="K33" s="797">
        <f>K22</f>
        <v>5228958000</v>
      </c>
      <c r="L33" s="799"/>
      <c r="M33" s="799"/>
      <c r="N33" s="804"/>
    </row>
    <row r="34" spans="1:14" s="42" customFormat="1" ht="15.75" thickTop="1">
      <c r="A34" s="310"/>
      <c r="B34" s="1198" t="s">
        <v>129</v>
      </c>
      <c r="C34" s="1198"/>
      <c r="D34" s="805"/>
      <c r="E34" s="806"/>
      <c r="F34" s="805"/>
      <c r="G34" s="806"/>
      <c r="H34" s="805"/>
      <c r="I34" s="806"/>
      <c r="J34" s="807"/>
      <c r="K34" s="805"/>
      <c r="L34" s="806"/>
      <c r="M34" s="805"/>
      <c r="N34" s="808"/>
    </row>
    <row r="35" spans="1:14" s="42" customFormat="1">
      <c r="A35" s="310"/>
      <c r="B35" s="809" t="s">
        <v>33</v>
      </c>
      <c r="C35" s="793" t="s">
        <v>26</v>
      </c>
      <c r="D35" s="788"/>
      <c r="E35" s="789"/>
      <c r="F35" s="788"/>
      <c r="G35" s="789"/>
      <c r="H35" s="788"/>
      <c r="I35" s="789"/>
      <c r="J35" s="794"/>
      <c r="K35" s="788"/>
      <c r="L35" s="789"/>
      <c r="M35" s="788"/>
      <c r="N35" s="791"/>
    </row>
    <row r="36" spans="1:14" s="42" customFormat="1">
      <c r="A36" s="310"/>
      <c r="B36" s="795"/>
      <c r="C36" s="810" t="s">
        <v>130</v>
      </c>
      <c r="D36" s="803">
        <v>5243000000</v>
      </c>
      <c r="E36" s="799">
        <v>100</v>
      </c>
      <c r="F36" s="799">
        <v>5200000000</v>
      </c>
      <c r="G36" s="799">
        <v>100</v>
      </c>
      <c r="H36" s="799">
        <f>H38+H39+H40+H41+H42</f>
        <v>5228958000</v>
      </c>
      <c r="I36" s="799">
        <f>I38+I39+I40+I41+I42</f>
        <v>100</v>
      </c>
      <c r="J36" s="798">
        <f>H36-F36</f>
        <v>28958000</v>
      </c>
      <c r="K36" s="803">
        <v>2500000000</v>
      </c>
      <c r="L36" s="799">
        <v>100</v>
      </c>
      <c r="M36" s="799">
        <v>0</v>
      </c>
      <c r="N36" s="799">
        <v>100</v>
      </c>
    </row>
    <row r="37" spans="1:14" s="42" customFormat="1">
      <c r="A37" s="310"/>
      <c r="B37" s="795" t="s">
        <v>131</v>
      </c>
      <c r="C37" s="811" t="s">
        <v>132</v>
      </c>
      <c r="D37" s="797"/>
      <c r="E37" s="798"/>
      <c r="F37" s="799"/>
      <c r="G37" s="799"/>
      <c r="H37" s="798"/>
      <c r="I37" s="798"/>
      <c r="J37" s="799">
        <f t="shared" ref="J37:J42" si="6">H37-F37</f>
        <v>0</v>
      </c>
      <c r="K37" s="797"/>
      <c r="L37" s="798"/>
      <c r="M37" s="798"/>
      <c r="N37" s="800"/>
    </row>
    <row r="38" spans="1:14" s="42" customFormat="1" ht="18">
      <c r="A38" s="310"/>
      <c r="B38" s="795" t="s">
        <v>222</v>
      </c>
      <c r="C38" s="811" t="s">
        <v>223</v>
      </c>
      <c r="D38" s="797">
        <v>2025035000</v>
      </c>
      <c r="E38" s="798">
        <v>38.6</v>
      </c>
      <c r="F38" s="799">
        <v>2255143693</v>
      </c>
      <c r="G38" s="799">
        <v>43.4</v>
      </c>
      <c r="H38" s="798">
        <f>'[3]aneksi 3.0'!L11</f>
        <v>2283025693</v>
      </c>
      <c r="I38" s="798">
        <f>H38/H36*100</f>
        <v>43.66119775679973</v>
      </c>
      <c r="J38" s="798">
        <f t="shared" si="6"/>
        <v>27882000</v>
      </c>
      <c r="K38" s="797">
        <f>H38</f>
        <v>2283025693</v>
      </c>
      <c r="L38" s="798">
        <v>43.4</v>
      </c>
      <c r="M38" s="798">
        <f>H38-K38</f>
        <v>0</v>
      </c>
      <c r="N38" s="800">
        <f>K38/H38*100</f>
        <v>100</v>
      </c>
    </row>
    <row r="39" spans="1:14" s="42" customFormat="1" ht="18">
      <c r="A39" s="310"/>
      <c r="B39" s="795" t="s">
        <v>224</v>
      </c>
      <c r="C39" s="811" t="s">
        <v>228</v>
      </c>
      <c r="D39" s="797">
        <v>85868000</v>
      </c>
      <c r="E39" s="798">
        <v>1.6</v>
      </c>
      <c r="F39" s="799">
        <v>80580683</v>
      </c>
      <c r="G39" s="799">
        <v>1.5</v>
      </c>
      <c r="H39" s="798">
        <f>'[3]aneksi 3.0'!L12</f>
        <v>81125683</v>
      </c>
      <c r="I39" s="798">
        <f>H39/H36*100</f>
        <v>1.5514693940934312</v>
      </c>
      <c r="J39" s="798">
        <f t="shared" si="6"/>
        <v>545000</v>
      </c>
      <c r="K39" s="797">
        <f t="shared" ref="K39:K42" si="7">H39</f>
        <v>81125683</v>
      </c>
      <c r="L39" s="798">
        <v>1.5</v>
      </c>
      <c r="M39" s="798">
        <f t="shared" ref="M39:M42" si="8">H39-K39</f>
        <v>0</v>
      </c>
      <c r="N39" s="800">
        <f t="shared" ref="N39:N42" si="9">K39/H39*100</f>
        <v>100</v>
      </c>
    </row>
    <row r="40" spans="1:14" s="42" customFormat="1" ht="18">
      <c r="A40" s="310"/>
      <c r="B40" s="795" t="s">
        <v>225</v>
      </c>
      <c r="C40" s="811" t="s">
        <v>229</v>
      </c>
      <c r="D40" s="797">
        <v>71794000</v>
      </c>
      <c r="E40" s="798">
        <v>1.4</v>
      </c>
      <c r="F40" s="799">
        <v>66624294</v>
      </c>
      <c r="G40" s="799">
        <v>1.3</v>
      </c>
      <c r="H40" s="798">
        <f>'[3]aneksi 3.0'!L13</f>
        <v>67079294</v>
      </c>
      <c r="I40" s="798">
        <f>H40/H36*100</f>
        <v>1.2828424707178754</v>
      </c>
      <c r="J40" s="798">
        <f t="shared" si="6"/>
        <v>455000</v>
      </c>
      <c r="K40" s="797">
        <f t="shared" si="7"/>
        <v>67079294</v>
      </c>
      <c r="L40" s="798">
        <v>1.3</v>
      </c>
      <c r="M40" s="798">
        <f t="shared" si="8"/>
        <v>0</v>
      </c>
      <c r="N40" s="800">
        <f t="shared" si="9"/>
        <v>100</v>
      </c>
    </row>
    <row r="41" spans="1:14" s="42" customFormat="1" ht="18">
      <c r="A41" s="310"/>
      <c r="B41" s="795" t="s">
        <v>226</v>
      </c>
      <c r="C41" s="811" t="s">
        <v>230</v>
      </c>
      <c r="D41" s="797">
        <v>12065000</v>
      </c>
      <c r="E41" s="798">
        <v>0.2</v>
      </c>
      <c r="F41" s="799">
        <v>13915791</v>
      </c>
      <c r="G41" s="799">
        <v>0.3</v>
      </c>
      <c r="H41" s="798">
        <f>'[3]aneksi 3.0'!L14</f>
        <v>13991791</v>
      </c>
      <c r="I41" s="812">
        <f>H41/H36*100</f>
        <v>0.26758277653023799</v>
      </c>
      <c r="J41" s="798">
        <f t="shared" si="6"/>
        <v>76000</v>
      </c>
      <c r="K41" s="797">
        <f t="shared" si="7"/>
        <v>13991791</v>
      </c>
      <c r="L41" s="798">
        <v>0.3</v>
      </c>
      <c r="M41" s="798">
        <f t="shared" si="8"/>
        <v>0</v>
      </c>
      <c r="N41" s="800">
        <f t="shared" si="9"/>
        <v>100</v>
      </c>
    </row>
    <row r="42" spans="1:14" s="42" customFormat="1" ht="18">
      <c r="A42" s="310"/>
      <c r="B42" s="795" t="s">
        <v>227</v>
      </c>
      <c r="C42" s="811" t="s">
        <v>231</v>
      </c>
      <c r="D42" s="797">
        <v>3048238000</v>
      </c>
      <c r="E42" s="798">
        <v>58.1</v>
      </c>
      <c r="F42" s="799">
        <v>2783735539</v>
      </c>
      <c r="G42" s="799">
        <v>53.5</v>
      </c>
      <c r="H42" s="798">
        <f>'[3]aneksi 3.0'!L15</f>
        <v>2783735539</v>
      </c>
      <c r="I42" s="798">
        <f>H42/H36*100</f>
        <v>53.236907601858732</v>
      </c>
      <c r="J42" s="799">
        <f t="shared" si="6"/>
        <v>0</v>
      </c>
      <c r="K42" s="797">
        <f t="shared" si="7"/>
        <v>2783735539</v>
      </c>
      <c r="L42" s="798">
        <v>53.5</v>
      </c>
      <c r="M42" s="798">
        <f t="shared" si="8"/>
        <v>0</v>
      </c>
      <c r="N42" s="800">
        <f t="shared" si="9"/>
        <v>100</v>
      </c>
    </row>
    <row r="43" spans="1:14" s="42" customFormat="1">
      <c r="A43" s="310"/>
      <c r="B43" s="795" t="s">
        <v>131</v>
      </c>
      <c r="C43" s="811" t="s">
        <v>132</v>
      </c>
      <c r="D43" s="797"/>
      <c r="E43" s="798"/>
      <c r="F43" s="799"/>
      <c r="G43" s="799"/>
      <c r="H43" s="798"/>
      <c r="I43" s="798"/>
      <c r="J43" s="798"/>
      <c r="K43" s="797"/>
      <c r="L43" s="798"/>
      <c r="M43" s="798"/>
      <c r="N43" s="800"/>
    </row>
    <row r="44" spans="1:14" s="42" customFormat="1">
      <c r="A44" s="310"/>
      <c r="B44" s="795" t="s">
        <v>131</v>
      </c>
      <c r="C44" s="811" t="s">
        <v>132</v>
      </c>
      <c r="D44" s="797"/>
      <c r="E44" s="798"/>
      <c r="F44" s="799"/>
      <c r="G44" s="799"/>
      <c r="H44" s="798"/>
      <c r="I44" s="798"/>
      <c r="J44" s="798"/>
      <c r="K44" s="797"/>
      <c r="L44" s="798"/>
      <c r="M44" s="798"/>
      <c r="N44" s="800"/>
    </row>
    <row r="45" spans="1:14" s="42" customFormat="1">
      <c r="A45" s="310"/>
      <c r="B45" s="795" t="s">
        <v>131</v>
      </c>
      <c r="C45" s="811" t="s">
        <v>132</v>
      </c>
      <c r="D45" s="797"/>
      <c r="E45" s="798"/>
      <c r="F45" s="799"/>
      <c r="G45" s="799"/>
      <c r="H45" s="798"/>
      <c r="I45" s="798"/>
      <c r="J45" s="798"/>
      <c r="K45" s="797"/>
      <c r="L45" s="798"/>
      <c r="M45" s="798"/>
      <c r="N45" s="800"/>
    </row>
    <row r="46" spans="1:14" s="42" customFormat="1">
      <c r="A46" s="310"/>
      <c r="B46" s="795" t="s">
        <v>131</v>
      </c>
      <c r="C46" s="811" t="s">
        <v>132</v>
      </c>
      <c r="D46" s="797"/>
      <c r="E46" s="798"/>
      <c r="F46" s="799"/>
      <c r="G46" s="799"/>
      <c r="H46" s="798"/>
      <c r="I46" s="798"/>
      <c r="J46" s="798"/>
      <c r="K46" s="797"/>
      <c r="L46" s="798"/>
      <c r="M46" s="798"/>
      <c r="N46" s="800"/>
    </row>
    <row r="47" spans="1:14" s="42" customFormat="1">
      <c r="A47" s="310"/>
      <c r="B47" s="795"/>
      <c r="C47" s="810" t="s">
        <v>128</v>
      </c>
      <c r="D47" s="799">
        <f>SUM(D38:D46)</f>
        <v>5243000000</v>
      </c>
      <c r="E47" s="799">
        <f t="shared" ref="E47:M47" si="10">SUM(E38:E46)</f>
        <v>99.9</v>
      </c>
      <c r="F47" s="799">
        <f t="shared" si="10"/>
        <v>5200000000</v>
      </c>
      <c r="G47" s="799">
        <f t="shared" si="10"/>
        <v>100</v>
      </c>
      <c r="H47" s="799">
        <f t="shared" si="10"/>
        <v>5228958000</v>
      </c>
      <c r="I47" s="799">
        <f t="shared" si="10"/>
        <v>100</v>
      </c>
      <c r="J47" s="799">
        <f t="shared" si="10"/>
        <v>28958000</v>
      </c>
      <c r="K47" s="799">
        <f t="shared" si="10"/>
        <v>5228958000</v>
      </c>
      <c r="L47" s="799">
        <f t="shared" si="10"/>
        <v>100</v>
      </c>
      <c r="M47" s="799">
        <f t="shared" si="10"/>
        <v>0</v>
      </c>
      <c r="N47" s="799">
        <v>100</v>
      </c>
    </row>
  </sheetData>
  <mergeCells count="20">
    <mergeCell ref="B2:N2"/>
    <mergeCell ref="B3:N3"/>
    <mergeCell ref="B4:N4"/>
    <mergeCell ref="B6:B7"/>
    <mergeCell ref="C6:E7"/>
    <mergeCell ref="F6:G7"/>
    <mergeCell ref="H6:N7"/>
    <mergeCell ref="A5:A6"/>
    <mergeCell ref="B13:C13"/>
    <mergeCell ref="B34:C34"/>
    <mergeCell ref="N10:N11"/>
    <mergeCell ref="C8:E8"/>
    <mergeCell ref="F8:G8"/>
    <mergeCell ref="H8:N8"/>
    <mergeCell ref="B9:C12"/>
    <mergeCell ref="D9:N9"/>
    <mergeCell ref="F10:G10"/>
    <mergeCell ref="H10:I10"/>
    <mergeCell ref="K10:L10"/>
    <mergeCell ref="M10:M11"/>
  </mergeCells>
  <pageMargins left="0.17" right="0.17" top="0.17" bottom="0.17" header="0.17" footer="0.17"/>
  <pageSetup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P89"/>
  <sheetViews>
    <sheetView zoomScale="90" zoomScaleNormal="90" workbookViewId="0">
      <selection activeCell="J31" sqref="J31"/>
    </sheetView>
  </sheetViews>
  <sheetFormatPr defaultRowHeight="15"/>
  <cols>
    <col min="1" max="1" width="3.28515625" style="42" customWidth="1"/>
    <col min="2" max="2" width="15" style="42" customWidth="1"/>
    <col min="3" max="3" width="51.7109375" style="42" customWidth="1"/>
    <col min="4" max="4" width="15.28515625" style="42" customWidth="1"/>
    <col min="5" max="5" width="9.28515625" style="42" customWidth="1"/>
    <col min="6" max="6" width="16.28515625" style="42" customWidth="1"/>
    <col min="7" max="7" width="11.140625" style="42" customWidth="1"/>
    <col min="8" max="8" width="16.28515625" style="42" customWidth="1"/>
    <col min="9" max="9" width="11.140625" style="42" customWidth="1"/>
    <col min="10" max="10" width="15.85546875" style="42" customWidth="1"/>
    <col min="11" max="11" width="16.28515625" style="42" customWidth="1"/>
    <col min="12" max="12" width="8.28515625" style="42" customWidth="1"/>
    <col min="13" max="13" width="15" style="42" customWidth="1"/>
    <col min="14" max="14" width="11.7109375" style="42" customWidth="1"/>
    <col min="15" max="15" width="9.140625" style="42"/>
    <col min="16" max="16" width="11.140625" style="42" bestFit="1" customWidth="1"/>
    <col min="17" max="16384" width="9.140625" style="42"/>
  </cols>
  <sheetData>
    <row r="1" spans="1:14" s="296" customFormat="1" ht="19.5" customHeight="1">
      <c r="A1" s="492"/>
      <c r="B1" s="354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</row>
    <row r="2" spans="1:14" s="296" customFormat="1" ht="11.25">
      <c r="A2" s="492"/>
      <c r="B2" s="1032" t="s">
        <v>112</v>
      </c>
      <c r="C2" s="1032"/>
      <c r="D2" s="1032"/>
      <c r="E2" s="1032"/>
      <c r="F2" s="1032"/>
      <c r="G2" s="1032"/>
      <c r="H2" s="1032"/>
      <c r="I2" s="1032"/>
      <c r="J2" s="1032"/>
      <c r="K2" s="1032"/>
      <c r="L2" s="1032"/>
      <c r="M2" s="1032"/>
      <c r="N2" s="1032"/>
    </row>
    <row r="3" spans="1:14" s="296" customFormat="1" ht="11.25">
      <c r="A3" s="492"/>
      <c r="B3" s="1033" t="s">
        <v>196</v>
      </c>
      <c r="C3" s="1033"/>
      <c r="D3" s="1033"/>
      <c r="E3" s="1033"/>
      <c r="F3" s="1033"/>
      <c r="G3" s="1033"/>
      <c r="H3" s="1033"/>
      <c r="I3" s="1033"/>
      <c r="J3" s="1033"/>
      <c r="K3" s="1033"/>
      <c r="L3" s="1033"/>
      <c r="M3" s="1033"/>
      <c r="N3" s="1033"/>
    </row>
    <row r="4" spans="1:14" s="296" customFormat="1" ht="11.25">
      <c r="A4" s="492"/>
      <c r="B4" s="1070" t="s">
        <v>1</v>
      </c>
      <c r="C4" s="1070"/>
      <c r="D4" s="1070"/>
      <c r="E4" s="1070"/>
      <c r="F4" s="1070"/>
      <c r="G4" s="1070"/>
      <c r="H4" s="1070"/>
      <c r="I4" s="1070"/>
      <c r="J4" s="1070"/>
      <c r="K4" s="1070"/>
      <c r="L4" s="1070"/>
      <c r="M4" s="1070"/>
      <c r="N4" s="1070"/>
    </row>
    <row r="5" spans="1:14" ht="8.25" customHeight="1" thickBot="1">
      <c r="A5" s="1215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 ht="16.5" thickTop="1" thickBot="1">
      <c r="A6" s="1215"/>
      <c r="B6" s="1216" t="s">
        <v>113</v>
      </c>
      <c r="C6" s="1217" t="s">
        <v>197</v>
      </c>
      <c r="D6" s="1217"/>
      <c r="E6" s="1217"/>
      <c r="F6" s="1218" t="s">
        <v>3</v>
      </c>
      <c r="G6" s="1218"/>
      <c r="H6" s="1219" t="s">
        <v>221</v>
      </c>
      <c r="I6" s="1219"/>
      <c r="J6" s="1219"/>
      <c r="K6" s="1219"/>
      <c r="L6" s="1219"/>
      <c r="M6" s="1219"/>
      <c r="N6" s="1219"/>
    </row>
    <row r="7" spans="1:14" ht="15.75" thickTop="1">
      <c r="A7" s="131"/>
      <c r="B7" s="1216"/>
      <c r="C7" s="1217"/>
      <c r="D7" s="1217"/>
      <c r="E7" s="1217"/>
      <c r="F7" s="1218"/>
      <c r="G7" s="1218"/>
      <c r="H7" s="1219"/>
      <c r="I7" s="1219"/>
      <c r="J7" s="1219"/>
      <c r="K7" s="1219"/>
      <c r="L7" s="1219"/>
      <c r="M7" s="1219"/>
      <c r="N7" s="1219"/>
    </row>
    <row r="8" spans="1:14">
      <c r="A8" s="131"/>
      <c r="B8" s="531" t="s">
        <v>114</v>
      </c>
      <c r="C8" s="1220" t="s">
        <v>195</v>
      </c>
      <c r="D8" s="1220"/>
      <c r="E8" s="1220"/>
      <c r="F8" s="1221" t="s">
        <v>115</v>
      </c>
      <c r="G8" s="1221"/>
      <c r="H8" s="1222" t="s">
        <v>194</v>
      </c>
      <c r="I8" s="1222"/>
      <c r="J8" s="1222"/>
      <c r="K8" s="1222"/>
      <c r="L8" s="1222"/>
      <c r="M8" s="1222"/>
      <c r="N8" s="1222"/>
    </row>
    <row r="9" spans="1:14" ht="15.75" thickBot="1">
      <c r="A9" s="131"/>
      <c r="B9" s="1223" t="s">
        <v>4</v>
      </c>
      <c r="C9" s="1223"/>
      <c r="D9" s="1224" t="s">
        <v>116</v>
      </c>
      <c r="E9" s="1224"/>
      <c r="F9" s="1224"/>
      <c r="G9" s="1224"/>
      <c r="H9" s="1224"/>
      <c r="I9" s="1224"/>
      <c r="J9" s="1224"/>
      <c r="K9" s="1224"/>
      <c r="L9" s="1224"/>
      <c r="M9" s="1224"/>
      <c r="N9" s="1224"/>
    </row>
    <row r="10" spans="1:14" ht="16.5" thickTop="1" thickBot="1">
      <c r="A10" s="131"/>
      <c r="B10" s="1223"/>
      <c r="C10" s="1223"/>
      <c r="D10" s="483" t="s">
        <v>117</v>
      </c>
      <c r="E10" s="484">
        <v>2024</v>
      </c>
      <c r="F10" s="1225" t="s">
        <v>6</v>
      </c>
      <c r="G10" s="1225"/>
      <c r="H10" s="1225" t="s">
        <v>6</v>
      </c>
      <c r="I10" s="1225"/>
      <c r="J10" s="440" t="s">
        <v>6</v>
      </c>
      <c r="K10" s="1225" t="s">
        <v>6</v>
      </c>
      <c r="L10" s="1225"/>
      <c r="M10" s="1226" t="s">
        <v>118</v>
      </c>
      <c r="N10" s="1227" t="s">
        <v>8</v>
      </c>
    </row>
    <row r="11" spans="1:14" ht="46.5" thickTop="1" thickBot="1">
      <c r="A11" s="131"/>
      <c r="B11" s="1223"/>
      <c r="C11" s="1223"/>
      <c r="D11" s="325" t="s">
        <v>119</v>
      </c>
      <c r="E11" s="338" t="s">
        <v>10</v>
      </c>
      <c r="F11" s="326" t="s">
        <v>182</v>
      </c>
      <c r="G11" s="339" t="s">
        <v>10</v>
      </c>
      <c r="H11" s="326" t="s">
        <v>183</v>
      </c>
      <c r="I11" s="339" t="s">
        <v>10</v>
      </c>
      <c r="J11" s="340" t="s">
        <v>120</v>
      </c>
      <c r="K11" s="326" t="s">
        <v>12</v>
      </c>
      <c r="L11" s="339" t="s">
        <v>10</v>
      </c>
      <c r="M11" s="1226"/>
      <c r="N11" s="1227"/>
    </row>
    <row r="12" spans="1:14" ht="16.5" thickTop="1" thickBot="1">
      <c r="A12" s="131"/>
      <c r="B12" s="1223"/>
      <c r="C12" s="1223"/>
      <c r="D12" s="327" t="s">
        <v>13</v>
      </c>
      <c r="E12" s="327" t="s">
        <v>14</v>
      </c>
      <c r="F12" s="327" t="s">
        <v>15</v>
      </c>
      <c r="G12" s="327" t="s">
        <v>16</v>
      </c>
      <c r="H12" s="327" t="s">
        <v>17</v>
      </c>
      <c r="I12" s="327" t="s">
        <v>18</v>
      </c>
      <c r="J12" s="327" t="s">
        <v>19</v>
      </c>
      <c r="K12" s="327" t="s">
        <v>20</v>
      </c>
      <c r="L12" s="327" t="s">
        <v>21</v>
      </c>
      <c r="M12" s="327" t="s">
        <v>22</v>
      </c>
      <c r="N12" s="328" t="s">
        <v>23</v>
      </c>
    </row>
    <row r="13" spans="1:14" ht="15.75" thickTop="1">
      <c r="A13" s="131"/>
      <c r="B13" s="1084" t="s">
        <v>32</v>
      </c>
      <c r="C13" s="1084"/>
      <c r="D13" s="272"/>
      <c r="E13" s="329"/>
      <c r="F13" s="272"/>
      <c r="G13" s="329"/>
      <c r="H13" s="272"/>
      <c r="I13" s="329"/>
      <c r="J13" s="330"/>
      <c r="K13" s="272"/>
      <c r="L13" s="329"/>
      <c r="M13" s="272"/>
      <c r="N13" s="341"/>
    </row>
    <row r="14" spans="1:14">
      <c r="A14" s="131"/>
      <c r="B14" s="441" t="s">
        <v>25</v>
      </c>
      <c r="C14" s="342" t="s">
        <v>26</v>
      </c>
      <c r="D14" s="272"/>
      <c r="E14" s="329"/>
      <c r="F14" s="272"/>
      <c r="G14" s="329"/>
      <c r="H14" s="272"/>
      <c r="I14" s="329"/>
      <c r="J14" s="343"/>
      <c r="K14" s="272"/>
      <c r="L14" s="329"/>
      <c r="M14" s="272"/>
      <c r="N14" s="341"/>
    </row>
    <row r="15" spans="1:14">
      <c r="A15" s="131"/>
      <c r="B15" s="438" t="s">
        <v>34</v>
      </c>
      <c r="C15" s="525" t="s">
        <v>35</v>
      </c>
      <c r="D15" s="345">
        <v>183918084</v>
      </c>
      <c r="E15" s="485">
        <f>D15/D22*100</f>
        <v>17.037372944072203</v>
      </c>
      <c r="F15" s="346">
        <v>164000000</v>
      </c>
      <c r="G15" s="485">
        <f>F15/F22*100</f>
        <v>11.310344827586206</v>
      </c>
      <c r="H15" s="346">
        <v>205402021</v>
      </c>
      <c r="I15" s="485">
        <f>H15/H22*100</f>
        <v>17.515614822973099</v>
      </c>
      <c r="J15" s="346">
        <f>H15-F15</f>
        <v>41402021</v>
      </c>
      <c r="K15" s="345">
        <v>202443357</v>
      </c>
      <c r="L15" s="485">
        <f>K15/K22*100</f>
        <v>18.86543941818541</v>
      </c>
      <c r="M15" s="346">
        <f>H15-K15</f>
        <v>2958664</v>
      </c>
      <c r="N15" s="532">
        <f>K15/H15*100</f>
        <v>98.559574055992371</v>
      </c>
    </row>
    <row r="16" spans="1:14">
      <c r="A16" s="131"/>
      <c r="B16" s="438" t="s">
        <v>36</v>
      </c>
      <c r="C16" s="525" t="s">
        <v>37</v>
      </c>
      <c r="D16" s="345">
        <v>30866060</v>
      </c>
      <c r="E16" s="485">
        <f>D16/D22*100</f>
        <v>2.8592978139882606</v>
      </c>
      <c r="F16" s="346">
        <v>27000000</v>
      </c>
      <c r="G16" s="485">
        <f>F16/F22*100</f>
        <v>1.8620689655172411</v>
      </c>
      <c r="H16" s="346">
        <v>35020000</v>
      </c>
      <c r="I16" s="485">
        <f>H16/H22*100</f>
        <v>2.9863232509310018</v>
      </c>
      <c r="J16" s="346">
        <f t="shared" ref="J16:J27" si="0">H16-F16</f>
        <v>8020000</v>
      </c>
      <c r="K16" s="345">
        <v>32774835</v>
      </c>
      <c r="L16" s="485">
        <f>K16/K22*100</f>
        <v>3.0542452629528509</v>
      </c>
      <c r="M16" s="346">
        <f t="shared" ref="M16:M21" si="1">H16-K16</f>
        <v>2245165</v>
      </c>
      <c r="N16" s="532">
        <f t="shared" ref="N16:N33" si="2">K16/H16*100</f>
        <v>93.588906339234725</v>
      </c>
    </row>
    <row r="17" spans="1:16">
      <c r="A17" s="131"/>
      <c r="B17" s="438" t="s">
        <v>38</v>
      </c>
      <c r="C17" s="525" t="s">
        <v>39</v>
      </c>
      <c r="D17" s="345">
        <v>256893746</v>
      </c>
      <c r="E17" s="485">
        <f>D17/D22*100</f>
        <v>23.797521496590608</v>
      </c>
      <c r="F17" s="346">
        <v>441000000</v>
      </c>
      <c r="G17" s="485">
        <f>F17/F22*100</f>
        <v>30.413793103448278</v>
      </c>
      <c r="H17" s="346">
        <v>281000000</v>
      </c>
      <c r="I17" s="485">
        <f>H17/H22*100</f>
        <v>23.96221683356972</v>
      </c>
      <c r="J17" s="346">
        <f t="shared" si="0"/>
        <v>-160000000</v>
      </c>
      <c r="K17" s="345">
        <v>236139724</v>
      </c>
      <c r="L17" s="485">
        <f>K17/K22*100</f>
        <v>22.005561078247798</v>
      </c>
      <c r="M17" s="346">
        <f t="shared" si="1"/>
        <v>44860276</v>
      </c>
      <c r="N17" s="532">
        <f t="shared" si="2"/>
        <v>84.035488967971531</v>
      </c>
    </row>
    <row r="18" spans="1:16">
      <c r="A18" s="131"/>
      <c r="B18" s="438" t="s">
        <v>40</v>
      </c>
      <c r="C18" s="525" t="s">
        <v>41</v>
      </c>
      <c r="D18" s="345">
        <v>0</v>
      </c>
      <c r="E18" s="485">
        <f>D18/D22*100</f>
        <v>0</v>
      </c>
      <c r="F18" s="346">
        <v>0</v>
      </c>
      <c r="G18" s="485">
        <f>F18/F22*100</f>
        <v>0</v>
      </c>
      <c r="H18" s="346">
        <v>0</v>
      </c>
      <c r="I18" s="485">
        <f>H18/H22*100</f>
        <v>0</v>
      </c>
      <c r="J18" s="346">
        <f t="shared" si="0"/>
        <v>0</v>
      </c>
      <c r="K18" s="345"/>
      <c r="L18" s="485">
        <f>K18/K22*100</f>
        <v>0</v>
      </c>
      <c r="M18" s="346">
        <f t="shared" si="1"/>
        <v>0</v>
      </c>
      <c r="N18" s="532" t="e">
        <f t="shared" si="2"/>
        <v>#DIV/0!</v>
      </c>
    </row>
    <row r="19" spans="1:16">
      <c r="A19" s="131"/>
      <c r="B19" s="438" t="s">
        <v>42</v>
      </c>
      <c r="C19" s="525" t="s">
        <v>43</v>
      </c>
      <c r="D19" s="345">
        <v>595063249.00999999</v>
      </c>
      <c r="E19" s="485">
        <f>D19/D22*100</f>
        <v>55.124076318099711</v>
      </c>
      <c r="F19" s="346">
        <v>800000000</v>
      </c>
      <c r="G19" s="485">
        <f>F19/F22*100</f>
        <v>55.172413793103445</v>
      </c>
      <c r="H19" s="346">
        <v>639272000</v>
      </c>
      <c r="I19" s="485">
        <f>H19/H22*100</f>
        <v>54.513787471992103</v>
      </c>
      <c r="J19" s="346">
        <f t="shared" si="0"/>
        <v>-160728000</v>
      </c>
      <c r="K19" s="345">
        <v>590130885.82999992</v>
      </c>
      <c r="L19" s="485">
        <f>K19/K22*100</f>
        <v>54.993548024526959</v>
      </c>
      <c r="M19" s="346">
        <f t="shared" si="1"/>
        <v>49141114.170000076</v>
      </c>
      <c r="N19" s="532">
        <f t="shared" si="2"/>
        <v>92.312956899410565</v>
      </c>
    </row>
    <row r="20" spans="1:16">
      <c r="A20" s="131"/>
      <c r="B20" s="438" t="s">
        <v>44</v>
      </c>
      <c r="C20" s="525" t="s">
        <v>45</v>
      </c>
      <c r="D20" s="345">
        <v>11182824</v>
      </c>
      <c r="E20" s="485">
        <f>D20/D22*100</f>
        <v>1.0359282725885797</v>
      </c>
      <c r="F20" s="346">
        <v>18000000</v>
      </c>
      <c r="G20" s="485">
        <f>F20/F22*100</f>
        <v>1.2413793103448276</v>
      </c>
      <c r="H20" s="346">
        <v>11000000</v>
      </c>
      <c r="I20" s="485">
        <f>H20/H22*100</f>
        <v>0.93802272302230205</v>
      </c>
      <c r="J20" s="346">
        <f t="shared" si="0"/>
        <v>-7000000</v>
      </c>
      <c r="K20" s="345">
        <v>10978573</v>
      </c>
      <c r="L20" s="485">
        <f>K20/K22*100</f>
        <v>1.0230792795518899</v>
      </c>
      <c r="M20" s="346">
        <f t="shared" si="1"/>
        <v>21427</v>
      </c>
      <c r="N20" s="532">
        <f t="shared" si="2"/>
        <v>99.805209090909088</v>
      </c>
    </row>
    <row r="21" spans="1:16">
      <c r="A21" s="131"/>
      <c r="B21" s="438" t="s">
        <v>46</v>
      </c>
      <c r="C21" s="525" t="s">
        <v>47</v>
      </c>
      <c r="D21" s="345">
        <v>1573942</v>
      </c>
      <c r="E21" s="485">
        <f>D21/D22*100</f>
        <v>0.14580315466063085</v>
      </c>
      <c r="F21" s="346">
        <v>0</v>
      </c>
      <c r="G21" s="485">
        <f>F21/F22*100</f>
        <v>0</v>
      </c>
      <c r="H21" s="346">
        <v>985460</v>
      </c>
      <c r="I21" s="485">
        <f>H21/H22*100</f>
        <v>8.4034897511777992E-2</v>
      </c>
      <c r="J21" s="346">
        <f t="shared" si="0"/>
        <v>985460</v>
      </c>
      <c r="K21" s="345">
        <v>623755</v>
      </c>
      <c r="L21" s="485">
        <f>K21/K22*100</f>
        <v>5.8126936535093321E-2</v>
      </c>
      <c r="M21" s="346">
        <f t="shared" si="1"/>
        <v>361705</v>
      </c>
      <c r="N21" s="532">
        <f t="shared" si="2"/>
        <v>63.295821240841846</v>
      </c>
    </row>
    <row r="22" spans="1:16" s="201" customFormat="1">
      <c r="A22" s="198"/>
      <c r="B22" s="199"/>
      <c r="C22" s="200" t="s">
        <v>121</v>
      </c>
      <c r="D22" s="133">
        <f t="shared" ref="D22" si="3">SUM(D15:D21)</f>
        <v>1079497905.01</v>
      </c>
      <c r="E22" s="133">
        <f>D22/D33*100</f>
        <v>44.806404126427246</v>
      </c>
      <c r="F22" s="133">
        <f>SUM(F15:F21)</f>
        <v>1450000000</v>
      </c>
      <c r="G22" s="133">
        <f>F22/F33*100</f>
        <v>26.546809348138517</v>
      </c>
      <c r="H22" s="133">
        <f>SUM(H15:H21)</f>
        <v>1172679481</v>
      </c>
      <c r="I22" s="133">
        <f>H22/H33*100</f>
        <v>29.218981870160892</v>
      </c>
      <c r="J22" s="133">
        <f t="shared" ref="J22:M22" si="4">SUM(J15:J21)</f>
        <v>-277320519</v>
      </c>
      <c r="K22" s="133">
        <f t="shared" si="4"/>
        <v>1073091129.8299999</v>
      </c>
      <c r="L22" s="133">
        <f>K22/K33*100</f>
        <v>43.644519880506508</v>
      </c>
      <c r="M22" s="133">
        <f t="shared" si="4"/>
        <v>99588351.170000076</v>
      </c>
      <c r="N22" s="532">
        <f t="shared" si="2"/>
        <v>91.507623968565028</v>
      </c>
    </row>
    <row r="23" spans="1:16">
      <c r="A23" s="131"/>
      <c r="B23" s="438" t="s">
        <v>49</v>
      </c>
      <c r="C23" s="525" t="s">
        <v>50</v>
      </c>
      <c r="D23" s="345">
        <v>0</v>
      </c>
      <c r="E23" s="485">
        <f>D23/D25*100</f>
        <v>0</v>
      </c>
      <c r="F23" s="346">
        <v>0</v>
      </c>
      <c r="G23" s="485">
        <f>F23/F25*100</f>
        <v>0</v>
      </c>
      <c r="H23" s="346">
        <v>15000000</v>
      </c>
      <c r="I23" s="485">
        <f>H23/H25*100</f>
        <v>0.8268198304468134</v>
      </c>
      <c r="J23" s="346">
        <f t="shared" si="0"/>
        <v>15000000</v>
      </c>
      <c r="K23" s="345">
        <v>13253510</v>
      </c>
      <c r="L23" s="485">
        <f>K23/K25*100</f>
        <v>0.99858741145169272</v>
      </c>
      <c r="M23" s="346">
        <v>0</v>
      </c>
      <c r="N23" s="532">
        <f t="shared" si="2"/>
        <v>88.356733333333338</v>
      </c>
    </row>
    <row r="24" spans="1:16">
      <c r="A24" s="131"/>
      <c r="B24" s="438" t="s">
        <v>51</v>
      </c>
      <c r="C24" s="525" t="s">
        <v>52</v>
      </c>
      <c r="D24" s="345">
        <v>1275168140.5999999</v>
      </c>
      <c r="E24" s="485">
        <f>D24/D25*100</f>
        <v>100</v>
      </c>
      <c r="F24" s="346">
        <v>2000000000</v>
      </c>
      <c r="G24" s="485">
        <f>F24/F25*100</f>
        <v>100</v>
      </c>
      <c r="H24" s="346">
        <v>1799180000</v>
      </c>
      <c r="I24" s="485">
        <f>H24/H25*100</f>
        <v>99.173180169553191</v>
      </c>
      <c r="J24" s="346">
        <f>H24-F24</f>
        <v>-200820000</v>
      </c>
      <c r="K24" s="526">
        <v>1313972314</v>
      </c>
      <c r="L24" s="485">
        <f>K24/K25*100</f>
        <v>99.001412588548305</v>
      </c>
      <c r="M24" s="346">
        <v>1712865149</v>
      </c>
      <c r="N24" s="532">
        <f t="shared" si="2"/>
        <v>73.03173190008782</v>
      </c>
    </row>
    <row r="25" spans="1:16">
      <c r="A25" s="131"/>
      <c r="B25" s="199"/>
      <c r="C25" s="200" t="s">
        <v>122</v>
      </c>
      <c r="D25" s="133">
        <f t="shared" ref="D25:J25" si="5">D23+D24</f>
        <v>1275168140.5999999</v>
      </c>
      <c r="E25" s="133">
        <f>D25/D33*100</f>
        <v>52.92803142247795</v>
      </c>
      <c r="F25" s="133">
        <f t="shared" si="5"/>
        <v>2000000000</v>
      </c>
      <c r="G25" s="133">
        <f>F25/F33*100</f>
        <v>36.61628875605313</v>
      </c>
      <c r="H25" s="133">
        <f>H23+H24</f>
        <v>1814180000</v>
      </c>
      <c r="I25" s="133">
        <f>H25/H33*100</f>
        <v>45.202882277777725</v>
      </c>
      <c r="J25" s="133">
        <f t="shared" si="5"/>
        <v>-185820000</v>
      </c>
      <c r="K25" s="349">
        <f>K23+K24</f>
        <v>1327225824</v>
      </c>
      <c r="L25" s="133">
        <f>K25/K33*100</f>
        <v>53.980628719451204</v>
      </c>
      <c r="M25" s="133">
        <f t="shared" ref="M25" si="6">M23+M24</f>
        <v>1712865149</v>
      </c>
      <c r="N25" s="532">
        <f t="shared" si="2"/>
        <v>73.15844205095415</v>
      </c>
    </row>
    <row r="26" spans="1:16">
      <c r="A26" s="131"/>
      <c r="B26" s="438" t="s">
        <v>49</v>
      </c>
      <c r="C26" s="525" t="s">
        <v>50</v>
      </c>
      <c r="D26" s="345">
        <v>50383030</v>
      </c>
      <c r="E26" s="485">
        <f>D26/D28*100</f>
        <v>100</v>
      </c>
      <c r="F26" s="346">
        <v>0</v>
      </c>
      <c r="G26" s="485">
        <f>F26/F28*100</f>
        <v>0</v>
      </c>
      <c r="H26" s="346">
        <v>0</v>
      </c>
      <c r="I26" s="485">
        <f>H26/H28*100</f>
        <v>0</v>
      </c>
      <c r="J26" s="346">
        <f t="shared" si="0"/>
        <v>0</v>
      </c>
      <c r="K26" s="526">
        <v>0</v>
      </c>
      <c r="L26" s="485">
        <f>K26/K28*100</f>
        <v>0</v>
      </c>
      <c r="M26" s="346">
        <v>-5671240</v>
      </c>
      <c r="N26" s="532" t="e">
        <f t="shared" si="2"/>
        <v>#DIV/0!</v>
      </c>
    </row>
    <row r="27" spans="1:16">
      <c r="A27" s="131"/>
      <c r="B27" s="438" t="s">
        <v>51</v>
      </c>
      <c r="C27" s="525" t="s">
        <v>52</v>
      </c>
      <c r="D27" s="345">
        <v>0</v>
      </c>
      <c r="E27" s="485">
        <f>D27/D28*100</f>
        <v>0</v>
      </c>
      <c r="F27" s="346">
        <v>2012050000</v>
      </c>
      <c r="G27" s="485">
        <f>F27/F28*100</f>
        <v>100</v>
      </c>
      <c r="H27" s="346">
        <v>1012050000</v>
      </c>
      <c r="I27" s="485">
        <f>H27/H28*100</f>
        <v>100</v>
      </c>
      <c r="J27" s="346">
        <f t="shared" si="0"/>
        <v>-1000000000</v>
      </c>
      <c r="K27" s="526">
        <v>51337272</v>
      </c>
      <c r="L27" s="485">
        <f>K27/K28*100</f>
        <v>100</v>
      </c>
      <c r="M27" s="346">
        <v>2012050000</v>
      </c>
      <c r="N27" s="532">
        <f t="shared" si="2"/>
        <v>5.0726023417815327</v>
      </c>
    </row>
    <row r="28" spans="1:16">
      <c r="A28" s="131"/>
      <c r="B28" s="199"/>
      <c r="C28" s="200" t="s">
        <v>123</v>
      </c>
      <c r="D28" s="133">
        <f t="shared" ref="D28:F28" si="7">D26+D27</f>
        <v>50383030</v>
      </c>
      <c r="E28" s="133">
        <f>D28/D33*100</f>
        <v>2.0912337048704095</v>
      </c>
      <c r="F28" s="133">
        <f t="shared" si="7"/>
        <v>2012050000</v>
      </c>
      <c r="G28" s="133">
        <f>F28/F33*100</f>
        <v>36.836901895808353</v>
      </c>
      <c r="H28" s="133">
        <f>H26+H27</f>
        <v>1012050000</v>
      </c>
      <c r="I28" s="133">
        <f>H28/H33*100</f>
        <v>25.216669244079942</v>
      </c>
      <c r="J28" s="133">
        <f>J26+J27</f>
        <v>-1000000000</v>
      </c>
      <c r="K28" s="349">
        <f t="shared" ref="K28:M28" si="8">K26+K27</f>
        <v>51337272</v>
      </c>
      <c r="L28" s="133">
        <f>K28/K33*100</f>
        <v>2.087977922965337</v>
      </c>
      <c r="M28" s="133">
        <f t="shared" si="8"/>
        <v>2006378760</v>
      </c>
      <c r="N28" s="532">
        <f t="shared" si="2"/>
        <v>5.0726023417815327</v>
      </c>
    </row>
    <row r="29" spans="1:16">
      <c r="A29" s="131"/>
      <c r="B29" s="199"/>
      <c r="C29" s="200" t="s">
        <v>124</v>
      </c>
      <c r="D29" s="133">
        <f t="shared" ref="D29:F29" si="9">D25+D28</f>
        <v>1325551170.5999999</v>
      </c>
      <c r="E29" s="133">
        <f>E25</f>
        <v>52.92803142247795</v>
      </c>
      <c r="F29" s="133">
        <f t="shared" si="9"/>
        <v>4012050000</v>
      </c>
      <c r="G29" s="133">
        <f>G25</f>
        <v>36.61628875605313</v>
      </c>
      <c r="H29" s="133">
        <f>H25+H28</f>
        <v>2826230000</v>
      </c>
      <c r="I29" s="133">
        <f>I25</f>
        <v>45.202882277777725</v>
      </c>
      <c r="J29" s="133">
        <f t="shared" ref="J29:M29" si="10">J25+J28</f>
        <v>-1185820000</v>
      </c>
      <c r="K29" s="133">
        <f t="shared" si="10"/>
        <v>1378563096</v>
      </c>
      <c r="L29" s="133">
        <f>L25</f>
        <v>53.980628719451204</v>
      </c>
      <c r="M29" s="133">
        <f t="shared" si="10"/>
        <v>3719243909</v>
      </c>
      <c r="N29" s="532">
        <f t="shared" si="2"/>
        <v>48.7774560456863</v>
      </c>
    </row>
    <row r="30" spans="1:16">
      <c r="A30" s="131"/>
      <c r="B30" s="199"/>
      <c r="C30" s="200" t="s">
        <v>125</v>
      </c>
      <c r="D30" s="133">
        <f t="shared" ref="D30:K30" si="11">D22+D25+D28</f>
        <v>2405049075.6099997</v>
      </c>
      <c r="E30" s="133">
        <f>E25</f>
        <v>52.92803142247795</v>
      </c>
      <c r="F30" s="133">
        <f t="shared" si="11"/>
        <v>5462050000</v>
      </c>
      <c r="G30" s="133">
        <f>G25</f>
        <v>36.61628875605313</v>
      </c>
      <c r="H30" s="133">
        <f>H22+H25+H28</f>
        <v>3998909481</v>
      </c>
      <c r="I30" s="133">
        <f>I25</f>
        <v>45.202882277777725</v>
      </c>
      <c r="J30" s="133">
        <f t="shared" si="11"/>
        <v>-1463140519</v>
      </c>
      <c r="K30" s="133">
        <f t="shared" si="11"/>
        <v>2451654225.8299999</v>
      </c>
      <c r="L30" s="133">
        <f>L25</f>
        <v>53.980628719451204</v>
      </c>
      <c r="M30" s="133">
        <f>M22+M25+M28</f>
        <v>3818832260.1700001</v>
      </c>
      <c r="N30" s="532">
        <f t="shared" si="2"/>
        <v>61.308070049560591</v>
      </c>
      <c r="P30" s="533"/>
    </row>
    <row r="31" spans="1:16">
      <c r="A31" s="131"/>
      <c r="B31" s="199"/>
      <c r="C31" s="200" t="s">
        <v>126</v>
      </c>
      <c r="D31" s="348">
        <v>4200062</v>
      </c>
      <c r="E31" s="133"/>
      <c r="F31" s="133"/>
      <c r="G31" s="133"/>
      <c r="H31" s="133">
        <v>14507161</v>
      </c>
      <c r="I31" s="133"/>
      <c r="J31" s="133">
        <f t="shared" ref="J31:J32" si="12">H31-F31</f>
        <v>14507161</v>
      </c>
      <c r="K31" s="348">
        <v>7053380</v>
      </c>
      <c r="L31" s="133"/>
      <c r="M31" s="133">
        <v>2012050000</v>
      </c>
      <c r="N31" s="532">
        <f t="shared" si="2"/>
        <v>48.619988431919928</v>
      </c>
    </row>
    <row r="32" spans="1:16">
      <c r="A32" s="131"/>
      <c r="B32" s="199"/>
      <c r="C32" s="200" t="s">
        <v>127</v>
      </c>
      <c r="D32" s="348">
        <v>0</v>
      </c>
      <c r="E32" s="133"/>
      <c r="F32" s="133"/>
      <c r="G32" s="133"/>
      <c r="H32" s="133">
        <v>0</v>
      </c>
      <c r="I32" s="133"/>
      <c r="J32" s="133">
        <f t="shared" si="12"/>
        <v>0</v>
      </c>
      <c r="K32" s="348">
        <v>0</v>
      </c>
      <c r="L32" s="133"/>
      <c r="M32" s="133">
        <v>2012050000</v>
      </c>
      <c r="N32" s="532" t="e">
        <f t="shared" si="2"/>
        <v>#DIV/0!</v>
      </c>
    </row>
    <row r="33" spans="1:14" ht="15.75" thickBot="1">
      <c r="A33" s="131"/>
      <c r="B33" s="199"/>
      <c r="C33" s="200" t="s">
        <v>128</v>
      </c>
      <c r="D33" s="348">
        <v>2409249137.6100001</v>
      </c>
      <c r="E33" s="133">
        <f>E22+E25+E28</f>
        <v>99.825669253775601</v>
      </c>
      <c r="F33" s="534">
        <f t="shared" ref="F33" si="13">F30+F31+F32</f>
        <v>5462050000</v>
      </c>
      <c r="G33" s="133">
        <f>G22+G25+G28</f>
        <v>100</v>
      </c>
      <c r="H33" s="534">
        <f>H30+H31+H32</f>
        <v>4013416642</v>
      </c>
      <c r="I33" s="133">
        <f>I22+I25+I28</f>
        <v>99.638533392018559</v>
      </c>
      <c r="J33" s="534">
        <f>J30+J31+J32</f>
        <v>-1448633358</v>
      </c>
      <c r="K33" s="534">
        <f>K30+K31+K32</f>
        <v>2458707605.8299999</v>
      </c>
      <c r="L33" s="133">
        <f>L22+L25+L28</f>
        <v>99.713126522923048</v>
      </c>
      <c r="M33" s="133">
        <f t="shared" ref="M33" si="14">M30+M31+M32</f>
        <v>7842932260.1700001</v>
      </c>
      <c r="N33" s="532">
        <f t="shared" si="2"/>
        <v>61.262206871319393</v>
      </c>
    </row>
    <row r="34" spans="1:14" ht="15.75" thickTop="1">
      <c r="A34" s="131"/>
      <c r="B34" s="1085" t="s">
        <v>129</v>
      </c>
      <c r="C34" s="1085"/>
      <c r="D34" s="344"/>
      <c r="E34" s="486"/>
      <c r="F34" s="344"/>
      <c r="G34" s="486"/>
      <c r="H34" s="344"/>
      <c r="I34" s="486"/>
      <c r="J34" s="487"/>
      <c r="K34" s="344"/>
      <c r="L34" s="486"/>
      <c r="M34" s="344"/>
      <c r="N34" s="532" t="e">
        <f t="shared" ref="N34:N79" si="15">K34/H34*100</f>
        <v>#DIV/0!</v>
      </c>
    </row>
    <row r="35" spans="1:14">
      <c r="A35" s="131"/>
      <c r="B35" s="439" t="s">
        <v>33</v>
      </c>
      <c r="C35" s="342" t="s">
        <v>26</v>
      </c>
      <c r="D35" s="272"/>
      <c r="E35" s="329"/>
      <c r="F35" s="272"/>
      <c r="G35" s="329"/>
      <c r="H35" s="272"/>
      <c r="I35" s="329"/>
      <c r="J35" s="343"/>
      <c r="K35" s="272"/>
      <c r="L35" s="329"/>
      <c r="M35" s="272"/>
      <c r="N35" s="532" t="e">
        <f t="shared" si="15"/>
        <v>#DIV/0!</v>
      </c>
    </row>
    <row r="36" spans="1:14">
      <c r="A36" s="131"/>
      <c r="B36" s="438"/>
      <c r="C36" s="347" t="s">
        <v>130</v>
      </c>
      <c r="D36" s="133">
        <f t="shared" ref="D36:G36" si="16">SUM(D38:D42)</f>
        <v>1079497905.01</v>
      </c>
      <c r="E36" s="133">
        <f t="shared" si="16"/>
        <v>44.8</v>
      </c>
      <c r="F36" s="133">
        <f t="shared" si="16"/>
        <v>1450000000</v>
      </c>
      <c r="G36" s="133">
        <f t="shared" si="16"/>
        <v>26.7</v>
      </c>
      <c r="H36" s="133">
        <f>SUM(H38:H42)</f>
        <v>1172679481</v>
      </c>
      <c r="I36" s="133">
        <v>26.6</v>
      </c>
      <c r="J36" s="133">
        <f>SUM(J38:J42)</f>
        <v>-277320519</v>
      </c>
      <c r="K36" s="133">
        <f>SUM(K38:K42)</f>
        <v>1073091129.8299999</v>
      </c>
      <c r="L36" s="133">
        <v>43.8</v>
      </c>
      <c r="M36" s="133">
        <f>SUM(M38:M42)</f>
        <v>99588351.170000017</v>
      </c>
      <c r="N36" s="532">
        <f t="shared" si="15"/>
        <v>91.507623968565028</v>
      </c>
    </row>
    <row r="37" spans="1:14">
      <c r="A37" s="131"/>
      <c r="B37" s="438" t="s">
        <v>131</v>
      </c>
      <c r="C37" s="324" t="s">
        <v>132</v>
      </c>
      <c r="D37" s="345"/>
      <c r="E37" s="346"/>
      <c r="F37" s="346"/>
      <c r="G37" s="346"/>
      <c r="H37" s="346"/>
      <c r="I37" s="346"/>
      <c r="J37" s="346"/>
      <c r="K37" s="345"/>
      <c r="L37" s="346"/>
      <c r="M37" s="346"/>
      <c r="N37" s="532" t="e">
        <f t="shared" si="15"/>
        <v>#DIV/0!</v>
      </c>
    </row>
    <row r="38" spans="1:14">
      <c r="A38" s="131"/>
      <c r="B38" s="438" t="s">
        <v>440</v>
      </c>
      <c r="C38" s="324" t="s">
        <v>441</v>
      </c>
      <c r="D38" s="345">
        <v>384957177</v>
      </c>
      <c r="E38" s="346">
        <v>16</v>
      </c>
      <c r="F38" s="346">
        <v>545000000</v>
      </c>
      <c r="G38" s="346">
        <v>10</v>
      </c>
      <c r="H38" s="346">
        <v>406564481</v>
      </c>
      <c r="I38" s="346">
        <v>10</v>
      </c>
      <c r="J38" s="346">
        <f>H38-F38</f>
        <v>-138435519</v>
      </c>
      <c r="K38" s="345">
        <v>362149936</v>
      </c>
      <c r="L38" s="346">
        <v>31.4</v>
      </c>
      <c r="M38" s="346">
        <f>H38-K38</f>
        <v>44414545</v>
      </c>
      <c r="N38" s="532">
        <f t="shared" si="15"/>
        <v>89.075645543172769</v>
      </c>
    </row>
    <row r="39" spans="1:14">
      <c r="A39" s="131"/>
      <c r="B39" s="438" t="s">
        <v>442</v>
      </c>
      <c r="C39" s="324" t="s">
        <v>443</v>
      </c>
      <c r="D39" s="345">
        <v>320241611.23000002</v>
      </c>
      <c r="E39" s="346">
        <v>13.3</v>
      </c>
      <c r="F39" s="346">
        <v>300000000</v>
      </c>
      <c r="G39" s="346">
        <v>5.5</v>
      </c>
      <c r="H39" s="346">
        <v>436341962</v>
      </c>
      <c r="I39" s="346">
        <v>8.8000000000000007</v>
      </c>
      <c r="J39" s="346">
        <f>H39-F39</f>
        <v>136341962</v>
      </c>
      <c r="K39" s="345">
        <v>428286062.56</v>
      </c>
      <c r="L39" s="346">
        <v>3.6</v>
      </c>
      <c r="M39" s="346">
        <f t="shared" ref="M39:M42" si="17">H39-K39</f>
        <v>8055899.4399999976</v>
      </c>
      <c r="N39" s="532">
        <v>0</v>
      </c>
    </row>
    <row r="40" spans="1:14">
      <c r="A40" s="131"/>
      <c r="B40" s="438" t="s">
        <v>444</v>
      </c>
      <c r="C40" s="324" t="s">
        <v>445</v>
      </c>
      <c r="D40" s="345">
        <v>16505247</v>
      </c>
      <c r="E40" s="346">
        <v>0.7</v>
      </c>
      <c r="F40" s="346">
        <v>31000000</v>
      </c>
      <c r="G40" s="346">
        <v>0.6</v>
      </c>
      <c r="H40" s="346">
        <v>31393000</v>
      </c>
      <c r="I40" s="346">
        <v>0.6</v>
      </c>
      <c r="J40" s="346">
        <f t="shared" ref="J40:J42" si="18">H40-F40</f>
        <v>393000</v>
      </c>
      <c r="K40" s="345">
        <v>26003511</v>
      </c>
      <c r="L40" s="346">
        <v>0.7</v>
      </c>
      <c r="M40" s="346">
        <f>H40-K40</f>
        <v>5389489</v>
      </c>
      <c r="N40" s="532">
        <v>0</v>
      </c>
    </row>
    <row r="41" spans="1:14">
      <c r="A41" s="131"/>
      <c r="B41" s="438" t="s">
        <v>446</v>
      </c>
      <c r="C41" s="324" t="s">
        <v>447</v>
      </c>
      <c r="D41" s="345">
        <v>82972232</v>
      </c>
      <c r="E41" s="346">
        <v>3.4</v>
      </c>
      <c r="F41" s="346">
        <v>74000000</v>
      </c>
      <c r="G41" s="346">
        <v>1.4</v>
      </c>
      <c r="H41" s="346">
        <v>95450000</v>
      </c>
      <c r="I41" s="346">
        <v>1.4</v>
      </c>
      <c r="J41" s="346">
        <f t="shared" si="18"/>
        <v>21450000</v>
      </c>
      <c r="K41" s="345">
        <v>94806797</v>
      </c>
      <c r="L41" s="346">
        <v>7.6</v>
      </c>
      <c r="M41" s="346">
        <f t="shared" si="17"/>
        <v>643203</v>
      </c>
      <c r="N41" s="532">
        <f t="shared" si="15"/>
        <v>99.326136196961755</v>
      </c>
    </row>
    <row r="42" spans="1:14">
      <c r="A42" s="131"/>
      <c r="B42" s="438" t="s">
        <v>448</v>
      </c>
      <c r="C42" s="324" t="s">
        <v>449</v>
      </c>
      <c r="D42" s="345">
        <v>274821637.77999997</v>
      </c>
      <c r="E42" s="346">
        <v>11.4</v>
      </c>
      <c r="F42" s="346">
        <v>500000000</v>
      </c>
      <c r="G42" s="346">
        <v>9.1999999999999993</v>
      </c>
      <c r="H42" s="346">
        <v>202930038</v>
      </c>
      <c r="I42" s="346">
        <v>5.8</v>
      </c>
      <c r="J42" s="346">
        <f t="shared" si="18"/>
        <v>-297069962</v>
      </c>
      <c r="K42" s="345">
        <v>161844823.26999998</v>
      </c>
      <c r="L42" s="346">
        <v>0.5</v>
      </c>
      <c r="M42" s="346">
        <f t="shared" si="17"/>
        <v>41085214.730000019</v>
      </c>
      <c r="N42" s="532">
        <f t="shared" si="15"/>
        <v>79.754000376228177</v>
      </c>
    </row>
    <row r="43" spans="1:14">
      <c r="A43" s="131"/>
      <c r="B43" s="438"/>
      <c r="C43" s="347" t="s">
        <v>133</v>
      </c>
      <c r="D43" s="133">
        <f t="shared" ref="D43:L43" si="19">D71+D83</f>
        <v>1325551170.5999999</v>
      </c>
      <c r="E43" s="133">
        <f t="shared" si="19"/>
        <v>55.20000000000001</v>
      </c>
      <c r="F43" s="133">
        <f>F71+F83</f>
        <v>3978050000</v>
      </c>
      <c r="G43" s="133">
        <f t="shared" si="19"/>
        <v>74.199999999999989</v>
      </c>
      <c r="H43" s="133">
        <f>H71+H83</f>
        <v>2826230000</v>
      </c>
      <c r="I43" s="133">
        <f t="shared" si="19"/>
        <v>73.099999999999994</v>
      </c>
      <c r="J43" s="133">
        <f t="shared" si="19"/>
        <v>-1151820000</v>
      </c>
      <c r="K43" s="133">
        <f t="shared" si="19"/>
        <v>1378302042.47</v>
      </c>
      <c r="L43" s="133">
        <f t="shared" si="19"/>
        <v>56.2</v>
      </c>
      <c r="M43" s="133">
        <f>M71+M83</f>
        <v>1447927957.53</v>
      </c>
      <c r="N43" s="532">
        <f t="shared" si="15"/>
        <v>48.768219234457213</v>
      </c>
    </row>
    <row r="44" spans="1:14">
      <c r="A44" s="131"/>
      <c r="B44" s="438" t="s">
        <v>131</v>
      </c>
      <c r="C44" s="324" t="s">
        <v>132</v>
      </c>
      <c r="D44" s="345"/>
      <c r="E44" s="346"/>
      <c r="F44" s="346"/>
      <c r="G44" s="346"/>
      <c r="H44" s="346"/>
      <c r="I44" s="346"/>
      <c r="J44" s="346"/>
      <c r="K44" s="345"/>
      <c r="L44" s="346"/>
      <c r="M44" s="346"/>
      <c r="N44" s="532" t="e">
        <f t="shared" si="15"/>
        <v>#DIV/0!</v>
      </c>
    </row>
    <row r="45" spans="1:14">
      <c r="A45" s="131"/>
      <c r="B45" s="438" t="s">
        <v>450</v>
      </c>
      <c r="C45" s="324" t="s">
        <v>451</v>
      </c>
      <c r="D45" s="345">
        <v>1152535833.5999999</v>
      </c>
      <c r="E45" s="346">
        <v>47.9</v>
      </c>
      <c r="F45" s="346">
        <v>1500000000</v>
      </c>
      <c r="G45" s="346">
        <v>27.5</v>
      </c>
      <c r="H45" s="346">
        <v>786817362</v>
      </c>
      <c r="I45" s="346">
        <v>17.5</v>
      </c>
      <c r="J45" s="346">
        <f>H45-F45</f>
        <v>-713182638</v>
      </c>
      <c r="K45" s="535">
        <v>749555215.47000003</v>
      </c>
      <c r="L45" s="346">
        <v>48.3</v>
      </c>
      <c r="M45" s="346">
        <f>H45-K45</f>
        <v>37262146.529999971</v>
      </c>
      <c r="N45" s="532">
        <f t="shared" si="15"/>
        <v>95.26419365794321</v>
      </c>
    </row>
    <row r="46" spans="1:14">
      <c r="A46" s="131"/>
      <c r="B46" s="438" t="s">
        <v>452</v>
      </c>
      <c r="C46" s="324" t="s">
        <v>453</v>
      </c>
      <c r="D46" s="345">
        <v>0</v>
      </c>
      <c r="E46" s="346">
        <v>0</v>
      </c>
      <c r="F46" s="346">
        <v>21760000</v>
      </c>
      <c r="G46" s="346">
        <v>0.4</v>
      </c>
      <c r="H46" s="346">
        <v>0</v>
      </c>
      <c r="I46" s="346">
        <v>0.4</v>
      </c>
      <c r="J46" s="346">
        <f t="shared" ref="J46:J70" si="20">H46-F46</f>
        <v>-21760000</v>
      </c>
      <c r="K46" s="535">
        <v>0</v>
      </c>
      <c r="L46" s="346">
        <v>0</v>
      </c>
      <c r="M46" s="346">
        <f t="shared" ref="M46:M70" si="21">H46-K46</f>
        <v>0</v>
      </c>
      <c r="N46" s="532">
        <v>0</v>
      </c>
    </row>
    <row r="47" spans="1:14">
      <c r="A47" s="131"/>
      <c r="B47" s="438" t="s">
        <v>454</v>
      </c>
      <c r="C47" s="324" t="s">
        <v>455</v>
      </c>
      <c r="D47" s="345">
        <v>0</v>
      </c>
      <c r="E47" s="346">
        <v>0</v>
      </c>
      <c r="F47" s="346">
        <v>20000000</v>
      </c>
      <c r="G47" s="346">
        <v>0.4</v>
      </c>
      <c r="H47" s="346">
        <v>0</v>
      </c>
      <c r="I47" s="346">
        <v>0.4</v>
      </c>
      <c r="J47" s="346">
        <f t="shared" si="20"/>
        <v>-20000000</v>
      </c>
      <c r="K47" s="535">
        <v>0</v>
      </c>
      <c r="L47" s="346">
        <v>0</v>
      </c>
      <c r="M47" s="346">
        <f t="shared" si="21"/>
        <v>0</v>
      </c>
      <c r="N47" s="532">
        <v>0</v>
      </c>
    </row>
    <row r="48" spans="1:14">
      <c r="A48" s="131"/>
      <c r="B48" s="438" t="s">
        <v>456</v>
      </c>
      <c r="C48" s="324" t="s">
        <v>457</v>
      </c>
      <c r="D48" s="345">
        <v>0</v>
      </c>
      <c r="E48" s="346">
        <v>0</v>
      </c>
      <c r="F48" s="346">
        <v>0</v>
      </c>
      <c r="G48" s="346">
        <v>0</v>
      </c>
      <c r="H48" s="346">
        <v>170781386</v>
      </c>
      <c r="I48" s="346">
        <v>3.6</v>
      </c>
      <c r="J48" s="346">
        <f t="shared" si="20"/>
        <v>170781386</v>
      </c>
      <c r="K48" s="535">
        <v>128201234</v>
      </c>
      <c r="L48" s="346">
        <v>3.5</v>
      </c>
      <c r="M48" s="346">
        <f t="shared" si="21"/>
        <v>42580152</v>
      </c>
      <c r="N48" s="532">
        <f t="shared" si="15"/>
        <v>75.06745143759403</v>
      </c>
    </row>
    <row r="49" spans="1:14">
      <c r="A49" s="131"/>
      <c r="B49" s="438" t="s">
        <v>458</v>
      </c>
      <c r="C49" s="324" t="s">
        <v>459</v>
      </c>
      <c r="D49" s="345">
        <v>0</v>
      </c>
      <c r="E49" s="346">
        <v>0</v>
      </c>
      <c r="F49" s="346">
        <v>0</v>
      </c>
      <c r="G49" s="346">
        <v>0</v>
      </c>
      <c r="H49" s="346">
        <v>275855252</v>
      </c>
      <c r="I49" s="346">
        <v>6.3</v>
      </c>
      <c r="J49" s="346">
        <f t="shared" si="20"/>
        <v>275855252</v>
      </c>
      <c r="K49" s="535">
        <v>204628001</v>
      </c>
      <c r="L49" s="346">
        <v>0</v>
      </c>
      <c r="M49" s="346">
        <f t="shared" si="21"/>
        <v>71227251</v>
      </c>
      <c r="N49" s="532">
        <f t="shared" si="15"/>
        <v>74.179483448805257</v>
      </c>
    </row>
    <row r="50" spans="1:14">
      <c r="A50" s="131"/>
      <c r="B50" s="438" t="s">
        <v>460</v>
      </c>
      <c r="C50" s="324" t="s">
        <v>461</v>
      </c>
      <c r="D50" s="345">
        <v>0</v>
      </c>
      <c r="E50" s="346">
        <v>0</v>
      </c>
      <c r="F50" s="346">
        <v>7000000</v>
      </c>
      <c r="G50" s="346">
        <v>0.1</v>
      </c>
      <c r="H50" s="346">
        <v>7000000</v>
      </c>
      <c r="I50" s="346">
        <v>0.1</v>
      </c>
      <c r="J50" s="346">
        <f t="shared" si="20"/>
        <v>0</v>
      </c>
      <c r="K50" s="535">
        <v>0</v>
      </c>
      <c r="L50" s="346">
        <v>0</v>
      </c>
      <c r="M50" s="346">
        <f t="shared" si="21"/>
        <v>7000000</v>
      </c>
      <c r="N50" s="532">
        <f t="shared" si="15"/>
        <v>0</v>
      </c>
    </row>
    <row r="51" spans="1:14">
      <c r="A51" s="131"/>
      <c r="B51" s="438" t="s">
        <v>462</v>
      </c>
      <c r="C51" s="324" t="s">
        <v>463</v>
      </c>
      <c r="D51" s="345">
        <v>0</v>
      </c>
      <c r="E51" s="346">
        <v>0</v>
      </c>
      <c r="F51" s="346">
        <v>63300000</v>
      </c>
      <c r="G51" s="346">
        <v>1.2</v>
      </c>
      <c r="H51" s="346">
        <v>63300000</v>
      </c>
      <c r="I51" s="346">
        <v>1.2</v>
      </c>
      <c r="J51" s="346">
        <f t="shared" si="20"/>
        <v>0</v>
      </c>
      <c r="K51" s="535">
        <v>63237120</v>
      </c>
      <c r="L51" s="346">
        <v>0</v>
      </c>
      <c r="M51" s="346">
        <f t="shared" si="21"/>
        <v>62880</v>
      </c>
      <c r="N51" s="532">
        <f t="shared" si="15"/>
        <v>99.900663507109002</v>
      </c>
    </row>
    <row r="52" spans="1:14">
      <c r="A52" s="131"/>
      <c r="B52" s="438" t="s">
        <v>464</v>
      </c>
      <c r="C52" s="324" t="s">
        <v>465</v>
      </c>
      <c r="D52" s="345">
        <v>0</v>
      </c>
      <c r="E52" s="346">
        <v>0</v>
      </c>
      <c r="F52" s="346">
        <v>20217000</v>
      </c>
      <c r="G52" s="346">
        <v>0.4</v>
      </c>
      <c r="H52" s="346">
        <v>20217000</v>
      </c>
      <c r="I52" s="346">
        <v>0.4</v>
      </c>
      <c r="J52" s="346">
        <f t="shared" si="20"/>
        <v>0</v>
      </c>
      <c r="K52" s="535">
        <v>17988000</v>
      </c>
      <c r="L52" s="346">
        <v>0</v>
      </c>
      <c r="M52" s="346">
        <f t="shared" si="21"/>
        <v>2229000</v>
      </c>
      <c r="N52" s="532">
        <f t="shared" si="15"/>
        <v>88.97462531532868</v>
      </c>
    </row>
    <row r="53" spans="1:14">
      <c r="A53" s="131"/>
      <c r="B53" s="438" t="s">
        <v>466</v>
      </c>
      <c r="C53" s="324" t="s">
        <v>467</v>
      </c>
      <c r="D53" s="345">
        <v>0</v>
      </c>
      <c r="E53" s="346">
        <v>0</v>
      </c>
      <c r="F53" s="346">
        <v>146500000</v>
      </c>
      <c r="G53" s="346">
        <v>2.7</v>
      </c>
      <c r="H53" s="346">
        <v>0</v>
      </c>
      <c r="I53" s="346">
        <v>2.7</v>
      </c>
      <c r="J53" s="346">
        <f t="shared" si="20"/>
        <v>-146500000</v>
      </c>
      <c r="K53" s="535">
        <v>0</v>
      </c>
      <c r="L53" s="346">
        <v>0</v>
      </c>
      <c r="M53" s="346">
        <f t="shared" si="21"/>
        <v>0</v>
      </c>
      <c r="N53" s="532">
        <v>0</v>
      </c>
    </row>
    <row r="54" spans="1:14">
      <c r="A54" s="131"/>
      <c r="B54" s="438" t="s">
        <v>468</v>
      </c>
      <c r="C54" s="324" t="s">
        <v>469</v>
      </c>
      <c r="D54" s="345">
        <v>39095520</v>
      </c>
      <c r="E54" s="346">
        <v>1.6</v>
      </c>
      <c r="F54" s="346">
        <v>0</v>
      </c>
      <c r="G54" s="346">
        <v>0</v>
      </c>
      <c r="H54" s="346">
        <v>0</v>
      </c>
      <c r="I54" s="346">
        <v>0</v>
      </c>
      <c r="J54" s="346">
        <f t="shared" si="20"/>
        <v>0</v>
      </c>
      <c r="K54" s="535">
        <v>0</v>
      </c>
      <c r="L54" s="346">
        <v>0</v>
      </c>
      <c r="M54" s="346">
        <f t="shared" si="21"/>
        <v>0</v>
      </c>
      <c r="N54" s="532">
        <v>0</v>
      </c>
    </row>
    <row r="55" spans="1:14">
      <c r="A55" s="131"/>
      <c r="B55" s="438" t="s">
        <v>470</v>
      </c>
      <c r="C55" s="324" t="s">
        <v>471</v>
      </c>
      <c r="D55" s="345">
        <v>0</v>
      </c>
      <c r="E55" s="346">
        <v>0</v>
      </c>
      <c r="F55" s="346">
        <v>5440000</v>
      </c>
      <c r="G55" s="346">
        <v>0.1</v>
      </c>
      <c r="H55" s="346">
        <v>5440000</v>
      </c>
      <c r="I55" s="346">
        <v>0.1</v>
      </c>
      <c r="J55" s="346">
        <f t="shared" si="20"/>
        <v>0</v>
      </c>
      <c r="K55" s="535">
        <v>0</v>
      </c>
      <c r="L55" s="346">
        <v>0</v>
      </c>
      <c r="M55" s="346">
        <f t="shared" si="21"/>
        <v>5440000</v>
      </c>
      <c r="N55" s="532">
        <f t="shared" si="15"/>
        <v>0</v>
      </c>
    </row>
    <row r="56" spans="1:14">
      <c r="A56" s="131"/>
      <c r="B56" s="438" t="s">
        <v>472</v>
      </c>
      <c r="C56" s="324" t="s">
        <v>473</v>
      </c>
      <c r="D56" s="345">
        <v>0</v>
      </c>
      <c r="E56" s="346">
        <v>0</v>
      </c>
      <c r="F56" s="346">
        <v>16320000</v>
      </c>
      <c r="G56" s="346">
        <v>0.3</v>
      </c>
      <c r="H56" s="346">
        <v>0</v>
      </c>
      <c r="I56" s="346">
        <v>0.3</v>
      </c>
      <c r="J56" s="346">
        <f t="shared" si="20"/>
        <v>-16320000</v>
      </c>
      <c r="K56" s="535">
        <v>0</v>
      </c>
      <c r="L56" s="346">
        <v>0</v>
      </c>
      <c r="M56" s="346">
        <f t="shared" si="21"/>
        <v>0</v>
      </c>
      <c r="N56" s="532" t="e">
        <f t="shared" si="15"/>
        <v>#DIV/0!</v>
      </c>
    </row>
    <row r="57" spans="1:14">
      <c r="A57" s="131"/>
      <c r="B57" s="438" t="s">
        <v>474</v>
      </c>
      <c r="C57" s="324" t="s">
        <v>475</v>
      </c>
      <c r="D57" s="345">
        <v>985800</v>
      </c>
      <c r="E57" s="346">
        <v>0</v>
      </c>
      <c r="F57" s="346">
        <v>4100000</v>
      </c>
      <c r="G57" s="346">
        <v>0.1</v>
      </c>
      <c r="H57" s="346">
        <v>14100000</v>
      </c>
      <c r="I57" s="346">
        <v>0.1</v>
      </c>
      <c r="J57" s="346">
        <f t="shared" si="20"/>
        <v>10000000</v>
      </c>
      <c r="K57" s="535">
        <v>3990763</v>
      </c>
      <c r="L57" s="346">
        <v>0</v>
      </c>
      <c r="M57" s="346">
        <f t="shared" si="21"/>
        <v>10109237</v>
      </c>
      <c r="N57" s="532">
        <f t="shared" si="15"/>
        <v>28.303283687943264</v>
      </c>
    </row>
    <row r="58" spans="1:14">
      <c r="A58" s="131"/>
      <c r="B58" s="438" t="s">
        <v>476</v>
      </c>
      <c r="C58" s="324" t="s">
        <v>477</v>
      </c>
      <c r="D58" s="345">
        <v>0</v>
      </c>
      <c r="E58" s="346">
        <v>0</v>
      </c>
      <c r="F58" s="346">
        <v>11936000</v>
      </c>
      <c r="G58" s="346">
        <v>0.2</v>
      </c>
      <c r="H58" s="346">
        <v>11436000</v>
      </c>
      <c r="I58" s="346">
        <v>0.2</v>
      </c>
      <c r="J58" s="346">
        <f t="shared" si="20"/>
        <v>-500000</v>
      </c>
      <c r="K58" s="535">
        <v>11436000</v>
      </c>
      <c r="L58" s="346">
        <v>2.2000000000000002</v>
      </c>
      <c r="M58" s="346">
        <f t="shared" si="21"/>
        <v>0</v>
      </c>
      <c r="N58" s="532">
        <f t="shared" si="15"/>
        <v>100</v>
      </c>
    </row>
    <row r="59" spans="1:14">
      <c r="A59" s="131"/>
      <c r="B59" s="438" t="s">
        <v>478</v>
      </c>
      <c r="C59" s="324" t="s">
        <v>479</v>
      </c>
      <c r="D59" s="345">
        <v>0</v>
      </c>
      <c r="E59" s="346">
        <v>0</v>
      </c>
      <c r="F59" s="346">
        <v>0</v>
      </c>
      <c r="G59" s="346">
        <v>0</v>
      </c>
      <c r="H59" s="346">
        <v>352008000</v>
      </c>
      <c r="I59" s="346"/>
      <c r="J59" s="346">
        <f t="shared" si="20"/>
        <v>352008000</v>
      </c>
      <c r="K59" s="535">
        <v>54578714</v>
      </c>
      <c r="L59" s="346">
        <v>0</v>
      </c>
      <c r="M59" s="346">
        <f t="shared" si="21"/>
        <v>297429286</v>
      </c>
      <c r="N59" s="532">
        <f t="shared" si="15"/>
        <v>15.504964091725187</v>
      </c>
    </row>
    <row r="60" spans="1:14">
      <c r="A60" s="131"/>
      <c r="B60" s="438" t="s">
        <v>480</v>
      </c>
      <c r="C60" s="324" t="s">
        <v>481</v>
      </c>
      <c r="D60" s="345">
        <v>1229365</v>
      </c>
      <c r="E60" s="346">
        <v>0.1</v>
      </c>
      <c r="F60" s="346">
        <v>0</v>
      </c>
      <c r="G60" s="346">
        <v>0</v>
      </c>
      <c r="H60" s="346">
        <v>0</v>
      </c>
      <c r="I60" s="346">
        <v>0</v>
      </c>
      <c r="J60" s="346">
        <f t="shared" si="20"/>
        <v>0</v>
      </c>
      <c r="K60" s="535">
        <v>0</v>
      </c>
      <c r="L60" s="346">
        <v>0</v>
      </c>
      <c r="M60" s="346">
        <f t="shared" si="21"/>
        <v>0</v>
      </c>
      <c r="N60" s="532">
        <v>0</v>
      </c>
    </row>
    <row r="61" spans="1:14">
      <c r="A61" s="131"/>
      <c r="B61" s="438" t="s">
        <v>482</v>
      </c>
      <c r="C61" s="324" t="s">
        <v>483</v>
      </c>
      <c r="D61" s="345">
        <v>3547435</v>
      </c>
      <c r="E61" s="346">
        <v>0.1</v>
      </c>
      <c r="F61" s="346">
        <v>7487000</v>
      </c>
      <c r="G61" s="346">
        <v>0.1</v>
      </c>
      <c r="H61" s="346">
        <v>7487000</v>
      </c>
      <c r="I61" s="346">
        <v>0.1</v>
      </c>
      <c r="J61" s="346">
        <f t="shared" si="20"/>
        <v>0</v>
      </c>
      <c r="K61" s="535">
        <v>7487000</v>
      </c>
      <c r="L61" s="346">
        <v>0.1</v>
      </c>
      <c r="M61" s="346">
        <f t="shared" si="21"/>
        <v>0</v>
      </c>
      <c r="N61" s="532">
        <v>0</v>
      </c>
    </row>
    <row r="62" spans="1:14">
      <c r="A62" s="131"/>
      <c r="B62" s="438" t="s">
        <v>484</v>
      </c>
      <c r="C62" s="324" t="s">
        <v>485</v>
      </c>
      <c r="D62" s="345">
        <v>3977938</v>
      </c>
      <c r="E62" s="346">
        <v>0.2</v>
      </c>
      <c r="F62" s="346">
        <v>4093000</v>
      </c>
      <c r="G62" s="346">
        <v>0.1</v>
      </c>
      <c r="H62" s="346">
        <v>4093000</v>
      </c>
      <c r="I62" s="346">
        <v>0.1</v>
      </c>
      <c r="J62" s="346">
        <f t="shared" si="20"/>
        <v>0</v>
      </c>
      <c r="K62" s="535">
        <v>4093000</v>
      </c>
      <c r="L62" s="346">
        <v>0.4</v>
      </c>
      <c r="M62" s="346">
        <f t="shared" si="21"/>
        <v>0</v>
      </c>
      <c r="N62" s="532">
        <f t="shared" si="15"/>
        <v>100</v>
      </c>
    </row>
    <row r="63" spans="1:14">
      <c r="A63" s="131"/>
      <c r="B63" s="438" t="s">
        <v>486</v>
      </c>
      <c r="C63" s="324" t="s">
        <v>487</v>
      </c>
      <c r="D63" s="345">
        <v>6343886</v>
      </c>
      <c r="E63" s="346">
        <v>0.3</v>
      </c>
      <c r="F63" s="346">
        <v>12365000</v>
      </c>
      <c r="G63" s="346">
        <v>0.2</v>
      </c>
      <c r="H63" s="346">
        <v>12365000</v>
      </c>
      <c r="I63" s="346">
        <v>0.2</v>
      </c>
      <c r="J63" s="346">
        <f t="shared" si="20"/>
        <v>0</v>
      </c>
      <c r="K63" s="535">
        <v>7518385</v>
      </c>
      <c r="L63" s="346">
        <v>0</v>
      </c>
      <c r="M63" s="346">
        <f t="shared" si="21"/>
        <v>4846615</v>
      </c>
      <c r="N63" s="532">
        <f t="shared" si="15"/>
        <v>60.803760614638094</v>
      </c>
    </row>
    <row r="64" spans="1:14">
      <c r="A64" s="131"/>
      <c r="B64" s="438" t="s">
        <v>488</v>
      </c>
      <c r="C64" s="324" t="s">
        <v>489</v>
      </c>
      <c r="D64" s="345">
        <v>0</v>
      </c>
      <c r="E64" s="346">
        <v>0</v>
      </c>
      <c r="F64" s="346">
        <v>52202000</v>
      </c>
      <c r="G64" s="346">
        <v>1</v>
      </c>
      <c r="H64" s="346">
        <v>0</v>
      </c>
      <c r="I64" s="346">
        <v>1</v>
      </c>
      <c r="J64" s="346">
        <f t="shared" si="20"/>
        <v>-52202000</v>
      </c>
      <c r="K64" s="535"/>
      <c r="L64" s="346">
        <v>0</v>
      </c>
      <c r="M64" s="346">
        <f t="shared" si="21"/>
        <v>0</v>
      </c>
      <c r="N64" s="532" t="e">
        <f t="shared" si="15"/>
        <v>#DIV/0!</v>
      </c>
    </row>
    <row r="65" spans="1:16">
      <c r="A65" s="131"/>
      <c r="B65" s="438" t="s">
        <v>490</v>
      </c>
      <c r="C65" s="324" t="s">
        <v>491</v>
      </c>
      <c r="D65" s="345">
        <v>0</v>
      </c>
      <c r="E65" s="346">
        <v>0</v>
      </c>
      <c r="F65" s="346">
        <v>280000</v>
      </c>
      <c r="G65" s="346">
        <v>0</v>
      </c>
      <c r="H65" s="346">
        <v>280000</v>
      </c>
      <c r="I65" s="346">
        <v>0</v>
      </c>
      <c r="J65" s="346">
        <f t="shared" si="20"/>
        <v>0</v>
      </c>
      <c r="K65" s="535">
        <v>0</v>
      </c>
      <c r="L65" s="346">
        <v>0</v>
      </c>
      <c r="M65" s="346">
        <f t="shared" si="21"/>
        <v>280000</v>
      </c>
      <c r="N65" s="532">
        <f t="shared" si="15"/>
        <v>0</v>
      </c>
    </row>
    <row r="66" spans="1:16">
      <c r="A66" s="131"/>
      <c r="B66" s="438" t="s">
        <v>492</v>
      </c>
      <c r="C66" s="324" t="s">
        <v>493</v>
      </c>
      <c r="D66" s="345">
        <v>0</v>
      </c>
      <c r="E66" s="346"/>
      <c r="F66" s="346">
        <v>0</v>
      </c>
      <c r="G66" s="346">
        <v>1</v>
      </c>
      <c r="H66" s="346">
        <v>24000000</v>
      </c>
      <c r="I66" s="346"/>
      <c r="J66" s="346">
        <f t="shared" si="20"/>
        <v>24000000</v>
      </c>
      <c r="K66" s="535">
        <v>24000000</v>
      </c>
      <c r="L66" s="346"/>
      <c r="M66" s="346">
        <f t="shared" si="21"/>
        <v>0</v>
      </c>
      <c r="N66" s="532">
        <f t="shared" si="15"/>
        <v>100</v>
      </c>
    </row>
    <row r="67" spans="1:16">
      <c r="A67" s="131"/>
      <c r="B67" s="438" t="s">
        <v>494</v>
      </c>
      <c r="C67" s="324" t="s">
        <v>495</v>
      </c>
      <c r="D67" s="345">
        <v>0</v>
      </c>
      <c r="E67" s="346">
        <v>0</v>
      </c>
      <c r="F67" s="346">
        <v>3000000</v>
      </c>
      <c r="G67" s="346">
        <v>0.1</v>
      </c>
      <c r="H67" s="346">
        <v>3000000</v>
      </c>
      <c r="I67" s="346">
        <v>0.1</v>
      </c>
      <c r="J67" s="346">
        <f t="shared" si="20"/>
        <v>0</v>
      </c>
      <c r="K67" s="535">
        <v>2118480</v>
      </c>
      <c r="L67" s="346">
        <v>0</v>
      </c>
      <c r="M67" s="346">
        <f t="shared" si="21"/>
        <v>881520</v>
      </c>
      <c r="N67" s="532">
        <v>0</v>
      </c>
    </row>
    <row r="68" spans="1:16">
      <c r="A68" s="131"/>
      <c r="B68" s="438" t="s">
        <v>288</v>
      </c>
      <c r="C68" s="324" t="s">
        <v>289</v>
      </c>
      <c r="D68" s="345">
        <v>2710503</v>
      </c>
      <c r="E68" s="346">
        <v>0.1</v>
      </c>
      <c r="F68" s="346">
        <v>35000000</v>
      </c>
      <c r="G68" s="346">
        <v>0.6</v>
      </c>
      <c r="H68" s="346">
        <v>21000000</v>
      </c>
      <c r="I68" s="346">
        <v>0.6</v>
      </c>
      <c r="J68" s="346">
        <f t="shared" si="20"/>
        <v>-14000000</v>
      </c>
      <c r="K68" s="535">
        <v>16719318</v>
      </c>
      <c r="L68" s="346">
        <v>0.6</v>
      </c>
      <c r="M68" s="346">
        <f t="shared" si="21"/>
        <v>4280682</v>
      </c>
      <c r="N68" s="532">
        <v>0</v>
      </c>
    </row>
    <row r="69" spans="1:16">
      <c r="A69" s="131"/>
      <c r="B69" s="438" t="s">
        <v>496</v>
      </c>
      <c r="C69" s="324" t="s">
        <v>497</v>
      </c>
      <c r="D69" s="345">
        <v>0</v>
      </c>
      <c r="E69" s="346">
        <v>0</v>
      </c>
      <c r="F69" s="346">
        <v>15000000</v>
      </c>
      <c r="G69" s="346">
        <v>0.3</v>
      </c>
      <c r="H69" s="346">
        <v>15000000</v>
      </c>
      <c r="I69" s="346">
        <v>0.3</v>
      </c>
      <c r="J69" s="346">
        <f t="shared" si="20"/>
        <v>0</v>
      </c>
      <c r="K69" s="345">
        <v>14757960</v>
      </c>
      <c r="L69" s="346">
        <v>0</v>
      </c>
      <c r="M69" s="346">
        <f t="shared" si="21"/>
        <v>242040</v>
      </c>
      <c r="N69" s="532">
        <f t="shared" si="15"/>
        <v>98.386399999999995</v>
      </c>
    </row>
    <row r="70" spans="1:16">
      <c r="A70" s="131"/>
      <c r="B70" s="438" t="s">
        <v>498</v>
      </c>
      <c r="C70" s="324" t="s">
        <v>499</v>
      </c>
      <c r="D70" s="345">
        <v>64741860</v>
      </c>
      <c r="E70" s="346">
        <v>2.7</v>
      </c>
      <c r="F70" s="346">
        <v>20000000</v>
      </c>
      <c r="G70" s="346">
        <v>0.4</v>
      </c>
      <c r="H70" s="346">
        <v>20000000</v>
      </c>
      <c r="I70" s="346">
        <v>0.4</v>
      </c>
      <c r="J70" s="346">
        <f t="shared" si="20"/>
        <v>0</v>
      </c>
      <c r="K70" s="345">
        <v>16655580</v>
      </c>
      <c r="L70" s="346">
        <v>0</v>
      </c>
      <c r="M70" s="346">
        <f t="shared" si="21"/>
        <v>3344420</v>
      </c>
      <c r="N70" s="532">
        <f t="shared" si="15"/>
        <v>83.277900000000002</v>
      </c>
    </row>
    <row r="71" spans="1:16">
      <c r="A71" s="131"/>
      <c r="B71" s="438"/>
      <c r="C71" s="347" t="s">
        <v>122</v>
      </c>
      <c r="D71" s="133">
        <f>SUM(D45:D70)</f>
        <v>1275168140.5999999</v>
      </c>
      <c r="E71" s="133">
        <f>SUM(E45:E70)</f>
        <v>53.000000000000007</v>
      </c>
      <c r="F71" s="133">
        <f t="shared" ref="F71:M71" si="22">SUM(F45:F70)</f>
        <v>1966000000</v>
      </c>
      <c r="G71" s="133">
        <f t="shared" si="22"/>
        <v>37.200000000000003</v>
      </c>
      <c r="H71" s="133">
        <f t="shared" si="22"/>
        <v>1814180000</v>
      </c>
      <c r="I71" s="133">
        <f t="shared" si="22"/>
        <v>36.100000000000009</v>
      </c>
      <c r="J71" s="133">
        <f t="shared" si="22"/>
        <v>-151820000</v>
      </c>
      <c r="K71" s="133">
        <f t="shared" si="22"/>
        <v>1326964770.47</v>
      </c>
      <c r="L71" s="133">
        <f t="shared" si="22"/>
        <v>55.1</v>
      </c>
      <c r="M71" s="133">
        <f t="shared" si="22"/>
        <v>487215229.52999997</v>
      </c>
      <c r="N71" s="532">
        <f t="shared" si="15"/>
        <v>73.144052435260008</v>
      </c>
      <c r="P71" s="536"/>
    </row>
    <row r="72" spans="1:16">
      <c r="A72" s="131"/>
      <c r="B72" s="438" t="s">
        <v>131</v>
      </c>
      <c r="C72" s="324" t="s">
        <v>132</v>
      </c>
      <c r="D72" s="345"/>
      <c r="E72" s="346"/>
      <c r="F72" s="346"/>
      <c r="G72" s="346"/>
      <c r="H72" s="346"/>
      <c r="I72" s="346"/>
      <c r="J72" s="346"/>
      <c r="K72" s="345"/>
      <c r="L72" s="346"/>
      <c r="M72" s="346"/>
      <c r="N72" s="532" t="e">
        <f t="shared" si="15"/>
        <v>#DIV/0!</v>
      </c>
    </row>
    <row r="73" spans="1:16">
      <c r="A73" s="131"/>
      <c r="B73" s="438" t="s">
        <v>500</v>
      </c>
      <c r="C73" s="324" t="s">
        <v>501</v>
      </c>
      <c r="D73" s="345">
        <v>3600</v>
      </c>
      <c r="E73" s="346">
        <v>0</v>
      </c>
      <c r="F73" s="346">
        <v>0</v>
      </c>
      <c r="G73" s="346">
        <v>0</v>
      </c>
      <c r="H73" s="346">
        <v>0</v>
      </c>
      <c r="I73" s="346">
        <v>0</v>
      </c>
      <c r="J73" s="346">
        <f t="shared" ref="J73:J82" si="23">H73-F73</f>
        <v>0</v>
      </c>
      <c r="K73" s="345">
        <v>3600</v>
      </c>
      <c r="L73" s="346">
        <v>0</v>
      </c>
      <c r="M73" s="346">
        <f t="shared" ref="M73:M82" si="24">H73-K73</f>
        <v>-3600</v>
      </c>
      <c r="N73" s="532" t="e">
        <f t="shared" si="15"/>
        <v>#DIV/0!</v>
      </c>
    </row>
    <row r="74" spans="1:16">
      <c r="A74" s="131"/>
      <c r="B74" s="438" t="s">
        <v>502</v>
      </c>
      <c r="C74" s="324" t="s">
        <v>503</v>
      </c>
      <c r="D74" s="345">
        <v>3600</v>
      </c>
      <c r="E74" s="346">
        <v>0</v>
      </c>
      <c r="F74" s="346">
        <v>0</v>
      </c>
      <c r="G74" s="346">
        <v>0</v>
      </c>
      <c r="H74" s="346">
        <v>0</v>
      </c>
      <c r="I74" s="346">
        <v>0</v>
      </c>
      <c r="J74" s="346">
        <f t="shared" si="23"/>
        <v>0</v>
      </c>
      <c r="K74" s="345">
        <v>4112341</v>
      </c>
      <c r="L74" s="346">
        <v>0</v>
      </c>
      <c r="M74" s="346">
        <f t="shared" si="24"/>
        <v>-4112341</v>
      </c>
      <c r="N74" s="532">
        <v>0</v>
      </c>
    </row>
    <row r="75" spans="1:16">
      <c r="A75" s="131"/>
      <c r="B75" s="438" t="s">
        <v>504</v>
      </c>
      <c r="C75" s="324" t="s">
        <v>505</v>
      </c>
      <c r="D75" s="345">
        <v>1654060</v>
      </c>
      <c r="E75" s="346">
        <v>0.1</v>
      </c>
      <c r="F75" s="346">
        <v>0</v>
      </c>
      <c r="G75" s="346">
        <v>0</v>
      </c>
      <c r="H75" s="346">
        <v>0</v>
      </c>
      <c r="I75" s="346">
        <v>0</v>
      </c>
      <c r="J75" s="346">
        <f t="shared" si="23"/>
        <v>0</v>
      </c>
      <c r="K75" s="345">
        <v>3600</v>
      </c>
      <c r="L75" s="346">
        <v>0</v>
      </c>
      <c r="M75" s="346">
        <f t="shared" si="24"/>
        <v>-3600</v>
      </c>
      <c r="N75" s="532">
        <v>0</v>
      </c>
    </row>
    <row r="76" spans="1:16">
      <c r="A76" s="131"/>
      <c r="B76" s="438" t="s">
        <v>506</v>
      </c>
      <c r="C76" s="324" t="s">
        <v>507</v>
      </c>
      <c r="D76" s="345">
        <v>0</v>
      </c>
      <c r="E76" s="346">
        <v>0</v>
      </c>
      <c r="F76" s="346">
        <v>1843955000</v>
      </c>
      <c r="G76" s="346">
        <v>33.799999999999997</v>
      </c>
      <c r="H76" s="346">
        <v>843955000</v>
      </c>
      <c r="I76" s="346">
        <v>33.799999999999997</v>
      </c>
      <c r="J76" s="346">
        <f t="shared" si="23"/>
        <v>-1000000000</v>
      </c>
      <c r="K76" s="345">
        <v>0</v>
      </c>
      <c r="L76" s="346">
        <v>0</v>
      </c>
      <c r="M76" s="346">
        <f t="shared" si="24"/>
        <v>843955000</v>
      </c>
      <c r="N76" s="532">
        <f t="shared" si="15"/>
        <v>0</v>
      </c>
    </row>
    <row r="77" spans="1:16">
      <c r="A77" s="131"/>
      <c r="B77" s="438" t="s">
        <v>508</v>
      </c>
      <c r="C77" s="324" t="s">
        <v>509</v>
      </c>
      <c r="D77" s="345">
        <v>6128510</v>
      </c>
      <c r="E77" s="346">
        <v>0.3</v>
      </c>
      <c r="F77" s="346">
        <v>46500000</v>
      </c>
      <c r="G77" s="346">
        <v>0.9</v>
      </c>
      <c r="H77" s="346">
        <v>46500000</v>
      </c>
      <c r="I77" s="346">
        <v>0.9</v>
      </c>
      <c r="J77" s="346">
        <f t="shared" si="23"/>
        <v>0</v>
      </c>
      <c r="K77" s="345">
        <v>21856539</v>
      </c>
      <c r="L77" s="346">
        <v>0.2</v>
      </c>
      <c r="M77" s="346">
        <f t="shared" si="24"/>
        <v>24643461</v>
      </c>
      <c r="N77" s="532">
        <f t="shared" si="15"/>
        <v>47.003309677419352</v>
      </c>
    </row>
    <row r="78" spans="1:16">
      <c r="A78" s="131"/>
      <c r="B78" s="438" t="s">
        <v>510</v>
      </c>
      <c r="C78" s="324" t="s">
        <v>511</v>
      </c>
      <c r="D78" s="345">
        <v>35445920</v>
      </c>
      <c r="E78" s="346">
        <v>1.5</v>
      </c>
      <c r="F78" s="346">
        <v>47000000</v>
      </c>
      <c r="G78" s="346">
        <v>0.9</v>
      </c>
      <c r="H78" s="346">
        <v>47000000</v>
      </c>
      <c r="I78" s="346">
        <v>0.9</v>
      </c>
      <c r="J78" s="346">
        <f t="shared" si="23"/>
        <v>0</v>
      </c>
      <c r="K78" s="345">
        <v>8219126</v>
      </c>
      <c r="L78" s="346">
        <v>0.4</v>
      </c>
      <c r="M78" s="346">
        <f t="shared" si="24"/>
        <v>38780874</v>
      </c>
      <c r="N78" s="532">
        <f t="shared" si="15"/>
        <v>17.487502127659575</v>
      </c>
    </row>
    <row r="79" spans="1:16">
      <c r="A79" s="131"/>
      <c r="B79" s="438" t="s">
        <v>512</v>
      </c>
      <c r="C79" s="324" t="s">
        <v>513</v>
      </c>
      <c r="D79" s="345">
        <v>7147340</v>
      </c>
      <c r="E79" s="346">
        <v>0.3</v>
      </c>
      <c r="F79" s="346">
        <v>52000000</v>
      </c>
      <c r="G79" s="346">
        <v>1</v>
      </c>
      <c r="H79" s="346">
        <v>52000000</v>
      </c>
      <c r="I79" s="346">
        <v>1</v>
      </c>
      <c r="J79" s="346">
        <f t="shared" si="23"/>
        <v>0</v>
      </c>
      <c r="K79" s="345">
        <v>14397608</v>
      </c>
      <c r="L79" s="346">
        <v>0.5</v>
      </c>
      <c r="M79" s="346">
        <f t="shared" si="24"/>
        <v>37602392</v>
      </c>
      <c r="N79" s="532">
        <f t="shared" si="15"/>
        <v>27.687707692307693</v>
      </c>
    </row>
    <row r="80" spans="1:16">
      <c r="A80" s="131"/>
      <c r="B80" s="438" t="s">
        <v>514</v>
      </c>
      <c r="C80" s="324" t="s">
        <v>515</v>
      </c>
      <c r="D80" s="345">
        <v>0</v>
      </c>
      <c r="E80" s="346">
        <v>0</v>
      </c>
      <c r="F80" s="346">
        <v>21095000</v>
      </c>
      <c r="G80" s="346">
        <v>0.4</v>
      </c>
      <c r="H80" s="346">
        <v>0</v>
      </c>
      <c r="I80" s="346">
        <v>0.4</v>
      </c>
      <c r="J80" s="346">
        <f t="shared" si="23"/>
        <v>-21095000</v>
      </c>
      <c r="K80" s="345">
        <v>0</v>
      </c>
      <c r="L80" s="346">
        <v>0</v>
      </c>
      <c r="M80" s="346">
        <f t="shared" si="24"/>
        <v>0</v>
      </c>
      <c r="N80" s="532" t="e">
        <f t="shared" ref="N80:N89" si="25">K80/H80*100</f>
        <v>#DIV/0!</v>
      </c>
    </row>
    <row r="81" spans="1:14">
      <c r="A81" s="131"/>
      <c r="B81" s="438" t="s">
        <v>516</v>
      </c>
      <c r="C81" s="324" t="s">
        <v>517</v>
      </c>
      <c r="D81" s="345">
        <v>0</v>
      </c>
      <c r="E81" s="346">
        <v>0</v>
      </c>
      <c r="F81" s="346">
        <v>1500000</v>
      </c>
      <c r="G81" s="346">
        <v>0</v>
      </c>
      <c r="H81" s="346">
        <v>1500000</v>
      </c>
      <c r="I81" s="346">
        <v>0</v>
      </c>
      <c r="J81" s="346">
        <f t="shared" si="23"/>
        <v>0</v>
      </c>
      <c r="K81" s="345">
        <v>0</v>
      </c>
      <c r="L81" s="346">
        <v>0</v>
      </c>
      <c r="M81" s="346">
        <f>H81-K81</f>
        <v>1500000</v>
      </c>
      <c r="N81" s="532">
        <v>0</v>
      </c>
    </row>
    <row r="82" spans="1:14">
      <c r="A82" s="131"/>
      <c r="B82" s="438" t="s">
        <v>518</v>
      </c>
      <c r="C82" s="324" t="s">
        <v>519</v>
      </c>
      <c r="D82" s="345">
        <v>0</v>
      </c>
      <c r="E82" s="346">
        <v>0</v>
      </c>
      <c r="F82" s="346">
        <v>0</v>
      </c>
      <c r="G82" s="346">
        <v>0</v>
      </c>
      <c r="H82" s="346">
        <v>21095000</v>
      </c>
      <c r="I82" s="346"/>
      <c r="J82" s="346">
        <f t="shared" si="23"/>
        <v>21095000</v>
      </c>
      <c r="K82" s="345">
        <v>2744458</v>
      </c>
      <c r="L82" s="346"/>
      <c r="M82" s="346">
        <f t="shared" si="24"/>
        <v>18350542</v>
      </c>
      <c r="N82" s="532">
        <v>0</v>
      </c>
    </row>
    <row r="83" spans="1:14">
      <c r="A83" s="131"/>
      <c r="B83" s="438"/>
      <c r="C83" s="347" t="s">
        <v>123</v>
      </c>
      <c r="D83" s="133">
        <f>SUM(D73:D82)</f>
        <v>50383030</v>
      </c>
      <c r="E83" s="133">
        <f>SUM(E73:E82)</f>
        <v>2.1999999999999997</v>
      </c>
      <c r="F83" s="133">
        <f t="shared" ref="F83:M83" si="26">SUM(F73:F82)</f>
        <v>2012050000</v>
      </c>
      <c r="G83" s="133">
        <f t="shared" si="26"/>
        <v>36.999999999999993</v>
      </c>
      <c r="H83" s="133">
        <f t="shared" si="26"/>
        <v>1012050000</v>
      </c>
      <c r="I83" s="133">
        <f t="shared" si="26"/>
        <v>36.999999999999993</v>
      </c>
      <c r="J83" s="133">
        <f t="shared" si="26"/>
        <v>-1000000000</v>
      </c>
      <c r="K83" s="133">
        <f t="shared" si="26"/>
        <v>51337272</v>
      </c>
      <c r="L83" s="133">
        <f t="shared" si="26"/>
        <v>1.1000000000000001</v>
      </c>
      <c r="M83" s="133">
        <f t="shared" si="26"/>
        <v>960712728</v>
      </c>
      <c r="N83" s="532">
        <f t="shared" si="25"/>
        <v>5.0726023417815327</v>
      </c>
    </row>
    <row r="84" spans="1:14">
      <c r="A84" s="131"/>
      <c r="B84" s="438"/>
      <c r="C84" s="347" t="s">
        <v>135</v>
      </c>
      <c r="D84" s="348">
        <f>D85</f>
        <v>4200062</v>
      </c>
      <c r="E84" s="348">
        <f t="shared" ref="E84:J84" si="27">E85</f>
        <v>100</v>
      </c>
      <c r="F84" s="348">
        <f t="shared" si="27"/>
        <v>0</v>
      </c>
      <c r="G84" s="348">
        <f t="shared" si="27"/>
        <v>0</v>
      </c>
      <c r="H84" s="348">
        <f t="shared" si="27"/>
        <v>14507161</v>
      </c>
      <c r="I84" s="348">
        <f t="shared" si="27"/>
        <v>0</v>
      </c>
      <c r="J84" s="348">
        <f t="shared" si="27"/>
        <v>14507161</v>
      </c>
      <c r="K84" s="348">
        <f>K85</f>
        <v>7053380</v>
      </c>
      <c r="L84" s="348">
        <f t="shared" ref="L84:M84" si="28">L85</f>
        <v>0</v>
      </c>
      <c r="M84" s="348">
        <f t="shared" si="28"/>
        <v>7453781</v>
      </c>
      <c r="N84" s="532">
        <f t="shared" si="25"/>
        <v>48.619988431919928</v>
      </c>
    </row>
    <row r="85" spans="1:14">
      <c r="A85" s="131"/>
      <c r="B85" s="438"/>
      <c r="C85" s="347" t="s">
        <v>136</v>
      </c>
      <c r="D85" s="348">
        <v>4200062</v>
      </c>
      <c r="E85" s="133">
        <v>100</v>
      </c>
      <c r="F85" s="133"/>
      <c r="G85" s="133"/>
      <c r="H85" s="133">
        <v>14507161</v>
      </c>
      <c r="I85" s="133"/>
      <c r="J85" s="133">
        <f t="shared" ref="J85:J87" si="29">H85-F85</f>
        <v>14507161</v>
      </c>
      <c r="K85" s="348">
        <v>7053380</v>
      </c>
      <c r="L85" s="133">
        <v>0</v>
      </c>
      <c r="M85" s="133">
        <f t="shared" ref="M85:M87" si="30">H85-K85</f>
        <v>7453781</v>
      </c>
      <c r="N85" s="532">
        <f t="shared" si="25"/>
        <v>48.619988431919928</v>
      </c>
    </row>
    <row r="86" spans="1:14">
      <c r="A86" s="131"/>
      <c r="B86" s="438" t="s">
        <v>131</v>
      </c>
      <c r="C86" s="324" t="s">
        <v>132</v>
      </c>
      <c r="D86" s="345"/>
      <c r="E86" s="346"/>
      <c r="F86" s="346"/>
      <c r="G86" s="346"/>
      <c r="H86" s="346"/>
      <c r="I86" s="346"/>
      <c r="J86" s="346">
        <f t="shared" si="29"/>
        <v>0</v>
      </c>
      <c r="K86" s="345"/>
      <c r="L86" s="346"/>
      <c r="M86" s="346">
        <f t="shared" si="30"/>
        <v>0</v>
      </c>
      <c r="N86" s="532" t="e">
        <f t="shared" si="25"/>
        <v>#DIV/0!</v>
      </c>
    </row>
    <row r="87" spans="1:14">
      <c r="A87" s="131"/>
      <c r="B87" s="438" t="s">
        <v>440</v>
      </c>
      <c r="C87" s="324" t="s">
        <v>441</v>
      </c>
      <c r="D87" s="345">
        <v>4200062</v>
      </c>
      <c r="E87" s="346"/>
      <c r="F87" s="346"/>
      <c r="G87" s="346"/>
      <c r="H87" s="346">
        <v>14507161</v>
      </c>
      <c r="I87" s="346"/>
      <c r="J87" s="346">
        <f t="shared" si="29"/>
        <v>14507161</v>
      </c>
      <c r="K87" s="345">
        <v>7053380</v>
      </c>
      <c r="L87" s="346">
        <v>0</v>
      </c>
      <c r="M87" s="346">
        <f t="shared" si="30"/>
        <v>7453781</v>
      </c>
      <c r="N87" s="532">
        <f t="shared" si="25"/>
        <v>48.619988431919928</v>
      </c>
    </row>
    <row r="88" spans="1:14">
      <c r="A88" s="131"/>
      <c r="B88" s="438" t="s">
        <v>131</v>
      </c>
      <c r="C88" s="324" t="s">
        <v>132</v>
      </c>
      <c r="D88" s="345"/>
      <c r="E88" s="346"/>
      <c r="F88" s="346"/>
      <c r="G88" s="346"/>
      <c r="H88" s="346"/>
      <c r="I88" s="346"/>
      <c r="J88" s="346"/>
      <c r="K88" s="345"/>
      <c r="L88" s="346"/>
      <c r="M88" s="346"/>
      <c r="N88" s="532" t="e">
        <f t="shared" si="25"/>
        <v>#DIV/0!</v>
      </c>
    </row>
    <row r="89" spans="1:14">
      <c r="A89" s="131"/>
      <c r="B89" s="438"/>
      <c r="C89" s="347" t="s">
        <v>128</v>
      </c>
      <c r="D89" s="348">
        <f>D36+D43+D84</f>
        <v>2409249137.6099997</v>
      </c>
      <c r="E89" s="348">
        <f>E84</f>
        <v>100</v>
      </c>
      <c r="F89" s="348">
        <f>F22+F25+F28</f>
        <v>5462050000</v>
      </c>
      <c r="G89" s="534">
        <f>G36+G43+G84</f>
        <v>100.89999999999999</v>
      </c>
      <c r="H89" s="348">
        <f>H22+H25</f>
        <v>2986859481</v>
      </c>
      <c r="I89" s="348">
        <f t="shared" ref="I89:L89" si="31">I36+I43+I84</f>
        <v>99.699999999999989</v>
      </c>
      <c r="J89" s="348">
        <f>H89-F89</f>
        <v>-2475190519</v>
      </c>
      <c r="K89" s="133">
        <f>K22+K25+K28-K83</f>
        <v>2400316953.8299999</v>
      </c>
      <c r="L89" s="348">
        <f t="shared" si="31"/>
        <v>100</v>
      </c>
      <c r="M89" s="133">
        <f>H89-K89</f>
        <v>586542527.17000008</v>
      </c>
      <c r="N89" s="532">
        <f t="shared" si="25"/>
        <v>80.362567074175658</v>
      </c>
    </row>
  </sheetData>
  <mergeCells count="20">
    <mergeCell ref="B13:C13"/>
    <mergeCell ref="B34:C34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B22"/>
  <sheetViews>
    <sheetView topLeftCell="B1" workbookViewId="0">
      <selection activeCell="AL29" sqref="AL29"/>
    </sheetView>
  </sheetViews>
  <sheetFormatPr defaultRowHeight="15"/>
  <cols>
    <col min="1" max="1" width="2.7109375" style="773" hidden="1" customWidth="1"/>
    <col min="2" max="2" width="0.140625" style="773" customWidth="1"/>
    <col min="3" max="3" width="4.5703125" style="773" customWidth="1"/>
    <col min="4" max="4" width="1.28515625" style="773" customWidth="1"/>
    <col min="5" max="5" width="4.7109375" style="773" customWidth="1"/>
    <col min="6" max="6" width="29.28515625" style="773" customWidth="1"/>
    <col min="7" max="7" width="6" style="773" customWidth="1"/>
    <col min="8" max="8" width="12.5703125" style="773" customWidth="1"/>
    <col min="9" max="9" width="7.42578125" style="773" customWidth="1"/>
    <col min="10" max="10" width="13.140625" style="773" customWidth="1"/>
    <col min="11" max="11" width="8.7109375" style="773" customWidth="1"/>
    <col min="12" max="12" width="10.85546875" style="773" customWidth="1"/>
    <col min="13" max="13" width="11.140625" style="773" customWidth="1"/>
    <col min="14" max="15" width="10.5703125" style="773" customWidth="1"/>
    <col min="16" max="17" width="8" style="773" customWidth="1"/>
    <col min="18" max="18" width="10.5703125" style="773" customWidth="1"/>
    <col min="19" max="19" width="11.5703125" style="773" customWidth="1"/>
    <col min="20" max="20" width="11.140625" style="773" customWidth="1"/>
    <col min="21" max="21" width="10.85546875" style="773" hidden="1" customWidth="1"/>
    <col min="22" max="22" width="14.140625" style="773" hidden="1" customWidth="1"/>
    <col min="23" max="23" width="11" style="773" hidden="1" customWidth="1"/>
    <col min="24" max="24" width="10.7109375" style="773" hidden="1" customWidth="1"/>
    <col min="25" max="25" width="0" style="773" hidden="1" customWidth="1"/>
    <col min="26" max="26" width="14.28515625" style="773" hidden="1" customWidth="1"/>
    <col min="27" max="27" width="14.140625" style="773" hidden="1" customWidth="1"/>
    <col min="28" max="28" width="16.42578125" style="773" hidden="1" customWidth="1"/>
    <col min="29" max="37" width="0" style="773" hidden="1" customWidth="1"/>
    <col min="38" max="16384" width="9.140625" style="773"/>
  </cols>
  <sheetData>
    <row r="1" spans="1:28" ht="20.100000000000001" customHeight="1">
      <c r="A1" s="813"/>
      <c r="B1" s="813"/>
      <c r="C1" s="814"/>
      <c r="D1" s="813"/>
      <c r="E1" s="813"/>
      <c r="F1" s="813"/>
      <c r="G1" s="813"/>
      <c r="H1" s="813"/>
      <c r="I1" s="813"/>
      <c r="J1" s="813"/>
      <c r="K1" s="813"/>
      <c r="L1" s="813"/>
      <c r="M1" s="813"/>
      <c r="N1" s="813"/>
      <c r="O1" s="813"/>
      <c r="P1" s="813"/>
      <c r="Q1" s="813"/>
      <c r="R1" s="813"/>
      <c r="S1" s="813"/>
      <c r="T1" s="813"/>
    </row>
    <row r="2" spans="1:28" ht="18" customHeight="1">
      <c r="A2" s="815"/>
      <c r="B2" s="815"/>
      <c r="C2" s="1234" t="s">
        <v>138</v>
      </c>
      <c r="D2" s="1234"/>
      <c r="E2" s="1234"/>
      <c r="F2" s="1234"/>
      <c r="G2" s="1234"/>
      <c r="H2" s="1234"/>
      <c r="I2" s="1234"/>
      <c r="J2" s="1234"/>
      <c r="K2" s="1234"/>
      <c r="L2" s="1234"/>
      <c r="M2" s="1234"/>
      <c r="N2" s="1234"/>
      <c r="O2" s="1234"/>
      <c r="P2" s="1234"/>
      <c r="Q2" s="1234"/>
      <c r="R2" s="1234"/>
      <c r="S2" s="1234"/>
      <c r="T2" s="815"/>
    </row>
    <row r="3" spans="1:28" ht="21" customHeight="1">
      <c r="A3" s="815"/>
      <c r="B3" s="815"/>
      <c r="C3" s="1235" t="s">
        <v>196</v>
      </c>
      <c r="D3" s="1235"/>
      <c r="E3" s="1235"/>
      <c r="F3" s="1235"/>
      <c r="G3" s="1235"/>
      <c r="H3" s="1235"/>
      <c r="I3" s="1235"/>
      <c r="J3" s="1235"/>
      <c r="K3" s="1235"/>
      <c r="L3" s="1235"/>
      <c r="M3" s="1235"/>
      <c r="N3" s="1235"/>
      <c r="O3" s="1235"/>
      <c r="P3" s="1235"/>
      <c r="Q3" s="1235"/>
      <c r="R3" s="1235"/>
      <c r="S3" s="1235"/>
      <c r="T3" s="1235"/>
    </row>
    <row r="4" spans="1:28" ht="21" customHeight="1" thickBot="1">
      <c r="A4" s="815"/>
      <c r="B4" s="815"/>
      <c r="C4" s="965"/>
      <c r="D4" s="965"/>
      <c r="E4" s="965"/>
      <c r="F4" s="965"/>
      <c r="G4" s="965"/>
      <c r="H4" s="965"/>
      <c r="I4" s="965"/>
      <c r="J4" s="965"/>
      <c r="K4" s="965"/>
      <c r="L4" s="965"/>
      <c r="M4" s="965"/>
      <c r="N4" s="965"/>
      <c r="O4" s="965"/>
      <c r="P4" s="965"/>
      <c r="Q4" s="965"/>
      <c r="R4" s="965"/>
      <c r="S4" s="965" t="s">
        <v>812</v>
      </c>
      <c r="T4" s="965"/>
    </row>
    <row r="5" spans="1:28" ht="19.5" customHeight="1" thickBot="1">
      <c r="A5" s="1228"/>
      <c r="B5" s="1228"/>
      <c r="C5" s="1230" t="s">
        <v>63</v>
      </c>
      <c r="D5" s="1232" t="s">
        <v>25</v>
      </c>
      <c r="E5" s="1232"/>
      <c r="F5" s="1232" t="s">
        <v>96</v>
      </c>
      <c r="G5" s="1232" t="s">
        <v>64</v>
      </c>
      <c r="H5" s="1236" t="s">
        <v>65</v>
      </c>
      <c r="I5" s="1232" t="s">
        <v>6</v>
      </c>
      <c r="J5" s="1232" t="s">
        <v>66</v>
      </c>
      <c r="K5" s="1239" t="s">
        <v>67</v>
      </c>
      <c r="L5" s="1239"/>
      <c r="M5" s="1239"/>
      <c r="N5" s="1239"/>
      <c r="O5" s="1239"/>
      <c r="P5" s="1239"/>
      <c r="Q5" s="1239"/>
      <c r="R5" s="1239"/>
      <c r="S5" s="1239"/>
      <c r="T5" s="1240"/>
    </row>
    <row r="6" spans="1:28" ht="15" customHeight="1" thickTop="1" thickBot="1">
      <c r="A6" s="1228"/>
      <c r="B6" s="1228"/>
      <c r="C6" s="1231"/>
      <c r="D6" s="1233"/>
      <c r="E6" s="1233"/>
      <c r="F6" s="1233"/>
      <c r="G6" s="1233"/>
      <c r="H6" s="1237"/>
      <c r="I6" s="1233"/>
      <c r="J6" s="1238"/>
      <c r="K6" s="816" t="s">
        <v>49</v>
      </c>
      <c r="L6" s="817" t="s">
        <v>51</v>
      </c>
      <c r="M6" s="817" t="s">
        <v>34</v>
      </c>
      <c r="N6" s="817" t="s">
        <v>36</v>
      </c>
      <c r="O6" s="817" t="s">
        <v>38</v>
      </c>
      <c r="P6" s="817" t="s">
        <v>40</v>
      </c>
      <c r="Q6" s="817" t="s">
        <v>42</v>
      </c>
      <c r="R6" s="817" t="s">
        <v>44</v>
      </c>
      <c r="S6" s="817" t="s">
        <v>46</v>
      </c>
      <c r="T6" s="818" t="s">
        <v>68</v>
      </c>
    </row>
    <row r="7" spans="1:28" ht="51" customHeight="1" thickTop="1">
      <c r="A7" s="815"/>
      <c r="B7" s="815"/>
      <c r="C7" s="1231"/>
      <c r="D7" s="1233"/>
      <c r="E7" s="1233"/>
      <c r="F7" s="1233"/>
      <c r="G7" s="1233"/>
      <c r="H7" s="1237"/>
      <c r="I7" s="819" t="s">
        <v>69</v>
      </c>
      <c r="J7" s="1233"/>
      <c r="K7" s="820" t="s">
        <v>139</v>
      </c>
      <c r="L7" s="820" t="s">
        <v>140</v>
      </c>
      <c r="M7" s="820" t="s">
        <v>72</v>
      </c>
      <c r="N7" s="820" t="s">
        <v>141</v>
      </c>
      <c r="O7" s="820" t="s">
        <v>142</v>
      </c>
      <c r="P7" s="820" t="s">
        <v>143</v>
      </c>
      <c r="Q7" s="820" t="s">
        <v>144</v>
      </c>
      <c r="R7" s="820" t="s">
        <v>145</v>
      </c>
      <c r="S7" s="820" t="s">
        <v>78</v>
      </c>
      <c r="T7" s="821" t="s">
        <v>68</v>
      </c>
      <c r="V7" s="822"/>
      <c r="W7" s="822"/>
      <c r="X7" s="822"/>
      <c r="Y7" s="822"/>
      <c r="Z7" s="823">
        <f>T8-Z8</f>
        <v>0</v>
      </c>
      <c r="AA7" s="823">
        <f>T9-AA8</f>
        <v>0</v>
      </c>
      <c r="AB7" s="823">
        <f>AB8-T10</f>
        <v>0</v>
      </c>
    </row>
    <row r="8" spans="1:28" ht="23.1" customHeight="1">
      <c r="A8" s="815"/>
      <c r="B8" s="815"/>
      <c r="C8" s="824">
        <v>17</v>
      </c>
      <c r="D8" s="1229" t="s">
        <v>27</v>
      </c>
      <c r="E8" s="1229"/>
      <c r="F8" s="825" t="s">
        <v>28</v>
      </c>
      <c r="G8" s="826" t="s">
        <v>79</v>
      </c>
      <c r="H8" s="827" t="s">
        <v>80</v>
      </c>
      <c r="I8" s="826">
        <v>2025</v>
      </c>
      <c r="J8" s="828" t="s">
        <v>81</v>
      </c>
      <c r="K8" s="829"/>
      <c r="L8" s="830">
        <v>120000000</v>
      </c>
      <c r="M8" s="830">
        <v>584980000</v>
      </c>
      <c r="N8" s="830">
        <v>110000000</v>
      </c>
      <c r="O8" s="830">
        <v>399896000</v>
      </c>
      <c r="P8" s="830">
        <v>0</v>
      </c>
      <c r="Q8" s="830">
        <v>0</v>
      </c>
      <c r="R8" s="830">
        <v>275424000</v>
      </c>
      <c r="S8" s="830">
        <v>33000000</v>
      </c>
      <c r="T8" s="831">
        <f t="shared" ref="T8:T22" si="0">SUM(K8:S8)</f>
        <v>1523300000</v>
      </c>
      <c r="V8" s="47">
        <v>1523300</v>
      </c>
      <c r="W8" s="47">
        <v>1673932.8530000001</v>
      </c>
      <c r="X8" s="47">
        <v>1656802.8910000001</v>
      </c>
      <c r="Y8" s="822"/>
      <c r="Z8" s="823">
        <f>V8*1000</f>
        <v>1523300000</v>
      </c>
      <c r="AA8" s="823">
        <f t="shared" ref="AA8:AB8" si="1">W8*1000</f>
        <v>1673932853</v>
      </c>
      <c r="AB8" s="823">
        <f t="shared" si="1"/>
        <v>1656802891</v>
      </c>
    </row>
    <row r="9" spans="1:28" ht="23.1" customHeight="1">
      <c r="A9" s="815"/>
      <c r="B9" s="815"/>
      <c r="C9" s="824">
        <v>17</v>
      </c>
      <c r="D9" s="1229" t="s">
        <v>27</v>
      </c>
      <c r="E9" s="1229"/>
      <c r="F9" s="825" t="s">
        <v>28</v>
      </c>
      <c r="G9" s="826" t="s">
        <v>79</v>
      </c>
      <c r="H9" s="827" t="s">
        <v>80</v>
      </c>
      <c r="I9" s="826">
        <v>2025</v>
      </c>
      <c r="J9" s="828" t="s">
        <v>82</v>
      </c>
      <c r="K9" s="829"/>
      <c r="L9" s="830">
        <v>77669000</v>
      </c>
      <c r="M9" s="830">
        <v>665980000</v>
      </c>
      <c r="N9" s="830">
        <v>110000000</v>
      </c>
      <c r="O9" s="830">
        <v>534896000</v>
      </c>
      <c r="P9" s="830">
        <v>0</v>
      </c>
      <c r="Q9" s="830">
        <v>0</v>
      </c>
      <c r="R9" s="830">
        <v>240424000</v>
      </c>
      <c r="S9" s="830">
        <v>44963853</v>
      </c>
      <c r="T9" s="831">
        <f t="shared" si="0"/>
        <v>1673932853</v>
      </c>
      <c r="V9" s="822">
        <v>584980</v>
      </c>
      <c r="W9" s="822">
        <v>665980</v>
      </c>
      <c r="X9" s="822">
        <v>665077.06499999994</v>
      </c>
      <c r="Y9" s="822"/>
      <c r="Z9" s="43">
        <f t="shared" ref="Z9:Z16" si="2">V9*1000</f>
        <v>584980000</v>
      </c>
      <c r="AA9" s="43">
        <f t="shared" ref="AA9:AA16" si="3">W9*1000</f>
        <v>665980000</v>
      </c>
      <c r="AB9" s="43">
        <f t="shared" ref="AB9:AB16" si="4">X9*1000</f>
        <v>665077065</v>
      </c>
    </row>
    <row r="10" spans="1:28" ht="23.1" customHeight="1">
      <c r="A10" s="815"/>
      <c r="B10" s="815"/>
      <c r="C10" s="824">
        <v>17</v>
      </c>
      <c r="D10" s="1229" t="s">
        <v>27</v>
      </c>
      <c r="E10" s="1229"/>
      <c r="F10" s="825" t="s">
        <v>28</v>
      </c>
      <c r="G10" s="826" t="s">
        <v>79</v>
      </c>
      <c r="H10" s="827" t="s">
        <v>80</v>
      </c>
      <c r="I10" s="826">
        <v>2025</v>
      </c>
      <c r="J10" s="828" t="s">
        <v>83</v>
      </c>
      <c r="K10" s="829"/>
      <c r="L10" s="830">
        <v>77653696</v>
      </c>
      <c r="M10" s="830">
        <v>665077065</v>
      </c>
      <c r="N10" s="830">
        <v>107335094</v>
      </c>
      <c r="O10" s="830">
        <v>521568122</v>
      </c>
      <c r="P10" s="830">
        <v>0</v>
      </c>
      <c r="Q10" s="830">
        <v>0</v>
      </c>
      <c r="R10" s="830">
        <v>240411100</v>
      </c>
      <c r="S10" s="830">
        <v>44757814</v>
      </c>
      <c r="T10" s="831">
        <f t="shared" si="0"/>
        <v>1656802891</v>
      </c>
      <c r="V10" s="822">
        <v>110000</v>
      </c>
      <c r="W10" s="822">
        <v>110000</v>
      </c>
      <c r="X10" s="822">
        <v>107335.094</v>
      </c>
      <c r="Y10" s="822"/>
      <c r="Z10" s="43">
        <f t="shared" si="2"/>
        <v>110000000</v>
      </c>
      <c r="AA10" s="43">
        <f t="shared" si="3"/>
        <v>110000000</v>
      </c>
      <c r="AB10" s="43">
        <f t="shared" si="4"/>
        <v>107335094</v>
      </c>
    </row>
    <row r="11" spans="1:28" ht="23.1" customHeight="1">
      <c r="A11" s="815"/>
      <c r="B11" s="815"/>
      <c r="C11" s="824">
        <v>17</v>
      </c>
      <c r="D11" s="1229" t="s">
        <v>27</v>
      </c>
      <c r="E11" s="1229"/>
      <c r="F11" s="825" t="s">
        <v>28</v>
      </c>
      <c r="G11" s="826" t="s">
        <v>79</v>
      </c>
      <c r="H11" s="827" t="s">
        <v>80</v>
      </c>
      <c r="I11" s="826">
        <v>2025</v>
      </c>
      <c r="J11" s="828" t="s">
        <v>84</v>
      </c>
      <c r="K11" s="829"/>
      <c r="L11" s="829"/>
      <c r="M11" s="829"/>
      <c r="N11" s="829"/>
      <c r="O11" s="829"/>
      <c r="P11" s="829"/>
      <c r="Q11" s="829"/>
      <c r="R11" s="829"/>
      <c r="S11" s="829"/>
      <c r="T11" s="831">
        <f t="shared" si="0"/>
        <v>0</v>
      </c>
      <c r="V11" s="822">
        <v>399896</v>
      </c>
      <c r="W11" s="822">
        <v>534896</v>
      </c>
      <c r="X11" s="822">
        <v>521568.12199999997</v>
      </c>
      <c r="Y11" s="822"/>
      <c r="Z11" s="43">
        <f t="shared" si="2"/>
        <v>399896000</v>
      </c>
      <c r="AA11" s="43">
        <f t="shared" si="3"/>
        <v>534896000</v>
      </c>
      <c r="AB11" s="43">
        <f t="shared" si="4"/>
        <v>521568122</v>
      </c>
    </row>
    <row r="12" spans="1:28" ht="23.1" customHeight="1">
      <c r="A12" s="815"/>
      <c r="B12" s="815"/>
      <c r="C12" s="824">
        <v>17</v>
      </c>
      <c r="D12" s="1229" t="s">
        <v>27</v>
      </c>
      <c r="E12" s="1229"/>
      <c r="F12" s="825" t="s">
        <v>28</v>
      </c>
      <c r="G12" s="826" t="s">
        <v>85</v>
      </c>
      <c r="H12" s="827" t="s">
        <v>86</v>
      </c>
      <c r="I12" s="826">
        <v>2025</v>
      </c>
      <c r="J12" s="828" t="s">
        <v>81</v>
      </c>
      <c r="K12" s="829"/>
      <c r="L12" s="832"/>
      <c r="M12" s="829"/>
      <c r="N12" s="829"/>
      <c r="O12" s="829"/>
      <c r="P12" s="829"/>
      <c r="Q12" s="829"/>
      <c r="R12" s="829"/>
      <c r="S12" s="829"/>
      <c r="T12" s="831">
        <f t="shared" si="0"/>
        <v>0</v>
      </c>
      <c r="V12" s="822">
        <v>0</v>
      </c>
      <c r="W12" s="822">
        <v>0</v>
      </c>
      <c r="X12" s="822">
        <v>0</v>
      </c>
      <c r="Y12" s="822"/>
      <c r="Z12" s="43">
        <f t="shared" si="2"/>
        <v>0</v>
      </c>
      <c r="AA12" s="43">
        <f t="shared" si="3"/>
        <v>0</v>
      </c>
      <c r="AB12" s="43">
        <f t="shared" si="4"/>
        <v>0</v>
      </c>
    </row>
    <row r="13" spans="1:28" ht="23.1" customHeight="1">
      <c r="A13" s="815"/>
      <c r="B13" s="815"/>
      <c r="C13" s="824">
        <v>17</v>
      </c>
      <c r="D13" s="1229" t="s">
        <v>27</v>
      </c>
      <c r="E13" s="1229"/>
      <c r="F13" s="825" t="s">
        <v>28</v>
      </c>
      <c r="G13" s="826" t="s">
        <v>85</v>
      </c>
      <c r="H13" s="827" t="s">
        <v>86</v>
      </c>
      <c r="I13" s="826">
        <v>2025</v>
      </c>
      <c r="J13" s="828" t="s">
        <v>82</v>
      </c>
      <c r="K13" s="829"/>
      <c r="L13" s="829"/>
      <c r="M13" s="829"/>
      <c r="N13" s="829"/>
      <c r="O13" s="829"/>
      <c r="P13" s="829"/>
      <c r="Q13" s="829"/>
      <c r="R13" s="829"/>
      <c r="S13" s="829"/>
      <c r="T13" s="831">
        <f t="shared" si="0"/>
        <v>0</v>
      </c>
      <c r="V13" s="822"/>
      <c r="W13" s="822">
        <v>0</v>
      </c>
      <c r="X13" s="822">
        <v>0</v>
      </c>
      <c r="Y13" s="822"/>
      <c r="Z13" s="43">
        <f t="shared" si="2"/>
        <v>0</v>
      </c>
      <c r="AA13" s="43">
        <f t="shared" si="3"/>
        <v>0</v>
      </c>
      <c r="AB13" s="43">
        <f t="shared" si="4"/>
        <v>0</v>
      </c>
    </row>
    <row r="14" spans="1:28" ht="23.1" customHeight="1">
      <c r="A14" s="815"/>
      <c r="B14" s="815"/>
      <c r="C14" s="824">
        <v>17</v>
      </c>
      <c r="D14" s="1229" t="s">
        <v>27</v>
      </c>
      <c r="E14" s="1229"/>
      <c r="F14" s="825" t="s">
        <v>28</v>
      </c>
      <c r="G14" s="826" t="s">
        <v>85</v>
      </c>
      <c r="H14" s="827" t="s">
        <v>86</v>
      </c>
      <c r="I14" s="826">
        <v>2025</v>
      </c>
      <c r="J14" s="828" t="s">
        <v>83</v>
      </c>
      <c r="K14" s="829"/>
      <c r="L14" s="829"/>
      <c r="M14" s="829"/>
      <c r="N14" s="829"/>
      <c r="O14" s="829"/>
      <c r="P14" s="829"/>
      <c r="Q14" s="829"/>
      <c r="R14" s="829"/>
      <c r="S14" s="829"/>
      <c r="T14" s="831">
        <f t="shared" si="0"/>
        <v>0</v>
      </c>
      <c r="V14" s="822">
        <v>275424</v>
      </c>
      <c r="W14" s="822">
        <v>240424</v>
      </c>
      <c r="X14" s="822">
        <v>240411.1</v>
      </c>
      <c r="Y14" s="822"/>
      <c r="Z14" s="43">
        <f t="shared" si="2"/>
        <v>275424000</v>
      </c>
      <c r="AA14" s="43">
        <f t="shared" si="3"/>
        <v>240424000</v>
      </c>
      <c r="AB14" s="43">
        <f t="shared" si="4"/>
        <v>240411100</v>
      </c>
    </row>
    <row r="15" spans="1:28" ht="23.1" customHeight="1">
      <c r="A15" s="815"/>
      <c r="B15" s="815"/>
      <c r="C15" s="824">
        <v>17</v>
      </c>
      <c r="D15" s="1229" t="s">
        <v>27</v>
      </c>
      <c r="E15" s="1229"/>
      <c r="F15" s="825" t="s">
        <v>28</v>
      </c>
      <c r="G15" s="826" t="s">
        <v>85</v>
      </c>
      <c r="H15" s="827" t="s">
        <v>86</v>
      </c>
      <c r="I15" s="826">
        <v>2025</v>
      </c>
      <c r="J15" s="828" t="s">
        <v>84</v>
      </c>
      <c r="K15" s="829"/>
      <c r="L15" s="829"/>
      <c r="M15" s="829"/>
      <c r="N15" s="829"/>
      <c r="O15" s="829"/>
      <c r="P15" s="829"/>
      <c r="Q15" s="829"/>
      <c r="R15" s="829"/>
      <c r="S15" s="829"/>
      <c r="T15" s="831">
        <f t="shared" si="0"/>
        <v>0</v>
      </c>
      <c r="V15" s="822">
        <v>33000</v>
      </c>
      <c r="W15" s="822">
        <v>44963.853000000003</v>
      </c>
      <c r="X15" s="822">
        <v>44757.813999999998</v>
      </c>
      <c r="Y15" s="822"/>
      <c r="Z15" s="43">
        <f t="shared" si="2"/>
        <v>33000000</v>
      </c>
      <c r="AA15" s="43">
        <f t="shared" si="3"/>
        <v>44963853</v>
      </c>
      <c r="AB15" s="43">
        <f t="shared" si="4"/>
        <v>44757814</v>
      </c>
    </row>
    <row r="16" spans="1:28" ht="23.1" customHeight="1">
      <c r="A16" s="815"/>
      <c r="B16" s="815"/>
      <c r="C16" s="824">
        <v>17</v>
      </c>
      <c r="D16" s="1229" t="s">
        <v>27</v>
      </c>
      <c r="E16" s="1229"/>
      <c r="F16" s="825" t="s">
        <v>28</v>
      </c>
      <c r="G16" s="826"/>
      <c r="H16" s="827" t="s">
        <v>68</v>
      </c>
      <c r="I16" s="826">
        <v>2025</v>
      </c>
      <c r="J16" s="828" t="s">
        <v>81</v>
      </c>
      <c r="K16" s="829"/>
      <c r="L16" s="829">
        <f>L8</f>
        <v>120000000</v>
      </c>
      <c r="M16" s="829">
        <f t="shared" ref="M16:S16" si="5">M8</f>
        <v>584980000</v>
      </c>
      <c r="N16" s="829">
        <f t="shared" si="5"/>
        <v>110000000</v>
      </c>
      <c r="O16" s="829">
        <f t="shared" si="5"/>
        <v>399896000</v>
      </c>
      <c r="P16" s="829">
        <f t="shared" si="5"/>
        <v>0</v>
      </c>
      <c r="Q16" s="829">
        <f t="shared" si="5"/>
        <v>0</v>
      </c>
      <c r="R16" s="829">
        <f t="shared" si="5"/>
        <v>275424000</v>
      </c>
      <c r="S16" s="829">
        <f t="shared" si="5"/>
        <v>33000000</v>
      </c>
      <c r="T16" s="831">
        <f t="shared" si="0"/>
        <v>1523300000</v>
      </c>
      <c r="U16" s="833">
        <f>T8-T16</f>
        <v>0</v>
      </c>
      <c r="V16" s="822">
        <v>120000</v>
      </c>
      <c r="W16" s="822">
        <v>77669</v>
      </c>
      <c r="X16" s="822">
        <v>77653.695999999996</v>
      </c>
      <c r="Y16" s="822"/>
      <c r="Z16" s="823">
        <f t="shared" si="2"/>
        <v>120000000</v>
      </c>
      <c r="AA16" s="823">
        <f t="shared" si="3"/>
        <v>77669000</v>
      </c>
      <c r="AB16" s="823">
        <f t="shared" si="4"/>
        <v>77653696</v>
      </c>
    </row>
    <row r="17" spans="1:25" ht="23.1" customHeight="1">
      <c r="A17" s="815"/>
      <c r="B17" s="815"/>
      <c r="C17" s="824">
        <v>17</v>
      </c>
      <c r="D17" s="1229" t="s">
        <v>27</v>
      </c>
      <c r="E17" s="1229"/>
      <c r="F17" s="825" t="s">
        <v>28</v>
      </c>
      <c r="G17" s="826"/>
      <c r="H17" s="827" t="s">
        <v>68</v>
      </c>
      <c r="I17" s="826">
        <v>2025</v>
      </c>
      <c r="J17" s="828" t="s">
        <v>82</v>
      </c>
      <c r="K17" s="829">
        <f>K9+K13</f>
        <v>0</v>
      </c>
      <c r="L17" s="829">
        <f>L9+L13</f>
        <v>77669000</v>
      </c>
      <c r="M17" s="829">
        <f t="shared" ref="M17:O17" si="6">M9+M13</f>
        <v>665980000</v>
      </c>
      <c r="N17" s="829">
        <f t="shared" si="6"/>
        <v>110000000</v>
      </c>
      <c r="O17" s="829">
        <f t="shared" si="6"/>
        <v>534896000</v>
      </c>
      <c r="P17" s="829"/>
      <c r="Q17" s="829"/>
      <c r="R17" s="829">
        <f>R9+R13</f>
        <v>240424000</v>
      </c>
      <c r="S17" s="829">
        <f>S9+S13</f>
        <v>44963853</v>
      </c>
      <c r="T17" s="831">
        <f t="shared" si="0"/>
        <v>1673932853</v>
      </c>
      <c r="U17" s="833">
        <f t="shared" ref="U17" si="7">T9-T17</f>
        <v>0</v>
      </c>
      <c r="V17" s="822"/>
      <c r="W17" s="822"/>
      <c r="X17" s="822"/>
      <c r="Y17" s="822"/>
    </row>
    <row r="18" spans="1:25" ht="23.1" customHeight="1">
      <c r="A18" s="815"/>
      <c r="B18" s="815"/>
      <c r="C18" s="824">
        <v>17</v>
      </c>
      <c r="D18" s="1229" t="s">
        <v>27</v>
      </c>
      <c r="E18" s="1229"/>
      <c r="F18" s="825" t="s">
        <v>28</v>
      </c>
      <c r="G18" s="826"/>
      <c r="H18" s="827" t="s">
        <v>68</v>
      </c>
      <c r="I18" s="826">
        <v>2025</v>
      </c>
      <c r="J18" s="828" t="s">
        <v>83</v>
      </c>
      <c r="K18" s="829">
        <f>K10+K14</f>
        <v>0</v>
      </c>
      <c r="L18" s="829">
        <f t="shared" ref="L18:O18" si="8">L10+L14</f>
        <v>77653696</v>
      </c>
      <c r="M18" s="829">
        <f t="shared" si="8"/>
        <v>665077065</v>
      </c>
      <c r="N18" s="829">
        <f t="shared" si="8"/>
        <v>107335094</v>
      </c>
      <c r="O18" s="829">
        <f t="shared" si="8"/>
        <v>521568122</v>
      </c>
      <c r="P18" s="829"/>
      <c r="Q18" s="829"/>
      <c r="R18" s="829">
        <f t="shared" ref="R18:S18" si="9">R10+R14</f>
        <v>240411100</v>
      </c>
      <c r="S18" s="829">
        <f t="shared" si="9"/>
        <v>44757814</v>
      </c>
      <c r="T18" s="831">
        <f t="shared" si="0"/>
        <v>1656802891</v>
      </c>
      <c r="U18" s="833">
        <f>T18-T17</f>
        <v>-17129962</v>
      </c>
      <c r="V18" s="822">
        <f>T17-T16</f>
        <v>150632853</v>
      </c>
      <c r="W18" s="822"/>
      <c r="X18" s="822"/>
      <c r="Y18" s="822"/>
    </row>
    <row r="19" spans="1:25" ht="23.1" customHeight="1">
      <c r="A19" s="815"/>
      <c r="B19" s="815"/>
      <c r="C19" s="824">
        <v>17</v>
      </c>
      <c r="D19" s="1229" t="s">
        <v>27</v>
      </c>
      <c r="E19" s="1229"/>
      <c r="F19" s="825" t="s">
        <v>28</v>
      </c>
      <c r="G19" s="826"/>
      <c r="H19" s="827" t="s">
        <v>68</v>
      </c>
      <c r="I19" s="826">
        <v>2025</v>
      </c>
      <c r="J19" s="828" t="s">
        <v>84</v>
      </c>
      <c r="K19" s="829">
        <f>K11+K15</f>
        <v>0</v>
      </c>
      <c r="L19" s="829">
        <f>L11+L15</f>
        <v>0</v>
      </c>
      <c r="M19" s="829">
        <f t="shared" ref="M19:O19" si="10">M11+M15</f>
        <v>0</v>
      </c>
      <c r="N19" s="829">
        <f t="shared" si="10"/>
        <v>0</v>
      </c>
      <c r="O19" s="829">
        <f t="shared" si="10"/>
        <v>0</v>
      </c>
      <c r="P19" s="829"/>
      <c r="Q19" s="829"/>
      <c r="R19" s="829">
        <f>R11+R15</f>
        <v>0</v>
      </c>
      <c r="S19" s="829">
        <f>S11+S15</f>
        <v>0</v>
      </c>
      <c r="T19" s="831">
        <f t="shared" si="0"/>
        <v>0</v>
      </c>
      <c r="V19" s="822"/>
      <c r="W19" s="822"/>
      <c r="X19" s="822"/>
      <c r="Y19" s="822"/>
    </row>
    <row r="20" spans="1:25" ht="15" customHeight="1">
      <c r="A20" s="815"/>
      <c r="B20" s="815"/>
      <c r="C20" s="824">
        <v>17</v>
      </c>
      <c r="D20" s="1229" t="s">
        <v>27</v>
      </c>
      <c r="E20" s="1229"/>
      <c r="F20" s="834" t="s">
        <v>89</v>
      </c>
      <c r="G20" s="835"/>
      <c r="H20" s="836"/>
      <c r="I20" s="835">
        <v>2025</v>
      </c>
      <c r="J20" s="834"/>
      <c r="K20" s="837">
        <f>K17-K16</f>
        <v>0</v>
      </c>
      <c r="L20" s="837">
        <f>L17-L16</f>
        <v>-42331000</v>
      </c>
      <c r="M20" s="837">
        <f t="shared" ref="M20:T20" si="11">M17-M16</f>
        <v>81000000</v>
      </c>
      <c r="N20" s="837">
        <f t="shared" si="11"/>
        <v>0</v>
      </c>
      <c r="O20" s="837">
        <f t="shared" si="11"/>
        <v>135000000</v>
      </c>
      <c r="P20" s="837">
        <f t="shared" si="11"/>
        <v>0</v>
      </c>
      <c r="Q20" s="837">
        <f t="shared" si="11"/>
        <v>0</v>
      </c>
      <c r="R20" s="837">
        <f t="shared" si="11"/>
        <v>-35000000</v>
      </c>
      <c r="S20" s="837">
        <f t="shared" si="11"/>
        <v>11963853</v>
      </c>
      <c r="T20" s="838">
        <f t="shared" si="11"/>
        <v>150632853</v>
      </c>
      <c r="V20" s="822"/>
      <c r="W20" s="822"/>
      <c r="X20" s="822"/>
      <c r="Y20" s="822"/>
    </row>
    <row r="21" spans="1:25" ht="15" customHeight="1">
      <c r="A21" s="815"/>
      <c r="B21" s="815"/>
      <c r="C21" s="824">
        <v>17</v>
      </c>
      <c r="D21" s="1229" t="s">
        <v>27</v>
      </c>
      <c r="E21" s="1241"/>
      <c r="F21" s="839" t="s">
        <v>90</v>
      </c>
      <c r="G21" s="840"/>
      <c r="H21" s="841"/>
      <c r="I21" s="840">
        <v>2025</v>
      </c>
      <c r="J21" s="839"/>
      <c r="K21" s="842">
        <f>K18-K17</f>
        <v>0</v>
      </c>
      <c r="L21" s="842">
        <f>L18/L17*100</f>
        <v>99.9802958709395</v>
      </c>
      <c r="M21" s="842">
        <f t="shared" ref="M21:S21" si="12">M18/M17*100</f>
        <v>99.864420102705793</v>
      </c>
      <c r="N21" s="842">
        <f t="shared" si="12"/>
        <v>97.577358181818184</v>
      </c>
      <c r="O21" s="842">
        <f t="shared" si="12"/>
        <v>97.508323487182551</v>
      </c>
      <c r="P21" s="842">
        <v>0</v>
      </c>
      <c r="Q21" s="842">
        <v>0</v>
      </c>
      <c r="R21" s="842">
        <f t="shared" si="12"/>
        <v>99.99463447908694</v>
      </c>
      <c r="S21" s="842">
        <f t="shared" si="12"/>
        <v>99.541767472640743</v>
      </c>
      <c r="T21" s="843">
        <f>T18/T17*100</f>
        <v>98.976663731206429</v>
      </c>
      <c r="V21" s="822"/>
      <c r="W21" s="822"/>
      <c r="X21" s="822"/>
      <c r="Y21" s="822"/>
    </row>
    <row r="22" spans="1:25" ht="15" customHeight="1" thickBot="1">
      <c r="A22" s="815"/>
      <c r="B22" s="815"/>
      <c r="C22" s="844">
        <v>17</v>
      </c>
      <c r="D22" s="1242" t="s">
        <v>27</v>
      </c>
      <c r="E22" s="1242"/>
      <c r="F22" s="845" t="s">
        <v>108</v>
      </c>
      <c r="G22" s="846" t="s">
        <v>91</v>
      </c>
      <c r="H22" s="847"/>
      <c r="I22" s="846">
        <v>2025</v>
      </c>
      <c r="J22" s="845" t="s">
        <v>83</v>
      </c>
      <c r="K22" s="848"/>
      <c r="L22" s="848"/>
      <c r="M22" s="848"/>
      <c r="N22" s="848"/>
      <c r="O22" s="848"/>
      <c r="P22" s="848"/>
      <c r="Q22" s="848"/>
      <c r="R22" s="848"/>
      <c r="S22" s="848"/>
      <c r="T22" s="849">
        <f t="shared" si="0"/>
        <v>0</v>
      </c>
    </row>
  </sheetData>
  <mergeCells count="26">
    <mergeCell ref="D22:E22"/>
    <mergeCell ref="D17:E17"/>
    <mergeCell ref="D18:E18"/>
    <mergeCell ref="D19:E19"/>
    <mergeCell ref="D20:E20"/>
    <mergeCell ref="D21:E21"/>
    <mergeCell ref="D15:E15"/>
    <mergeCell ref="D16:E16"/>
    <mergeCell ref="D13:E13"/>
    <mergeCell ref="D14:E14"/>
    <mergeCell ref="C2:S2"/>
    <mergeCell ref="C3:T3"/>
    <mergeCell ref="F5:F7"/>
    <mergeCell ref="G5:G7"/>
    <mergeCell ref="H5:H7"/>
    <mergeCell ref="I5:I6"/>
    <mergeCell ref="J5:J7"/>
    <mergeCell ref="K5:T5"/>
    <mergeCell ref="A5:B6"/>
    <mergeCell ref="D12:E12"/>
    <mergeCell ref="D11:E11"/>
    <mergeCell ref="D8:E8"/>
    <mergeCell ref="D9:E9"/>
    <mergeCell ref="D10:E10"/>
    <mergeCell ref="C5:C7"/>
    <mergeCell ref="D5:E7"/>
  </mergeCells>
  <pageMargins left="0.19" right="0.17" top="0.17" bottom="0.17" header="0.17" footer="0.17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X21"/>
  <sheetViews>
    <sheetView topLeftCell="B1" workbookViewId="0">
      <selection activeCell="T35" sqref="T35"/>
    </sheetView>
  </sheetViews>
  <sheetFormatPr defaultRowHeight="15"/>
  <cols>
    <col min="1" max="1" width="3.28515625" hidden="1" customWidth="1"/>
    <col min="2" max="2" width="0.140625" customWidth="1"/>
    <col min="3" max="3" width="7.28515625" customWidth="1"/>
    <col min="4" max="4" width="1.28515625" customWidth="1"/>
    <col min="5" max="5" width="7.85546875" customWidth="1"/>
    <col min="6" max="6" width="13.85546875" customWidth="1"/>
    <col min="7" max="7" width="8.140625" customWidth="1"/>
    <col min="8" max="8" width="18.7109375" customWidth="1"/>
    <col min="9" max="9" width="9.5703125" customWidth="1"/>
    <col min="10" max="10" width="13.140625" customWidth="1"/>
    <col min="11" max="11" width="8.85546875" customWidth="1"/>
    <col min="12" max="12" width="14.7109375" customWidth="1"/>
    <col min="13" max="13" width="12.42578125" customWidth="1"/>
    <col min="14" max="14" width="10" customWidth="1"/>
    <col min="15" max="15" width="11.5703125" customWidth="1"/>
    <col min="16" max="16" width="8.28515625" customWidth="1"/>
    <col min="17" max="17" width="7" customWidth="1"/>
    <col min="18" max="18" width="7.5703125" customWidth="1"/>
    <col min="19" max="19" width="2.85546875" customWidth="1"/>
    <col min="20" max="20" width="6.140625" customWidth="1"/>
    <col min="21" max="21" width="12.28515625" customWidth="1"/>
    <col min="23" max="23" width="17.7109375" style="44" hidden="1" customWidth="1"/>
    <col min="24" max="24" width="15.7109375" hidden="1" customWidth="1"/>
    <col min="25" max="26" width="0" hidden="1" customWidth="1"/>
  </cols>
  <sheetData>
    <row r="1" spans="1:24">
      <c r="A1" s="2"/>
      <c r="B1" s="2"/>
      <c r="C1" s="7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>
      <c r="A2" s="2"/>
      <c r="B2" s="2"/>
      <c r="C2" s="1243" t="s">
        <v>138</v>
      </c>
      <c r="D2" s="1243"/>
      <c r="E2" s="1243"/>
      <c r="F2" s="1243"/>
      <c r="G2" s="1243"/>
      <c r="H2" s="1243"/>
      <c r="I2" s="1243"/>
      <c r="J2" s="1243"/>
      <c r="K2" s="1243"/>
      <c r="L2" s="1243"/>
      <c r="M2" s="1243"/>
      <c r="N2" s="1243"/>
      <c r="O2" s="1243"/>
      <c r="P2" s="1243"/>
      <c r="Q2" s="1243"/>
      <c r="R2" s="1243"/>
      <c r="S2" s="1243"/>
      <c r="T2" s="2"/>
      <c r="U2" s="2"/>
    </row>
    <row r="3" spans="1:24">
      <c r="A3" s="2"/>
      <c r="B3" s="2"/>
      <c r="C3" s="1246" t="s">
        <v>196</v>
      </c>
      <c r="D3" s="1246"/>
      <c r="E3" s="1246"/>
      <c r="F3" s="1246"/>
      <c r="G3" s="1246"/>
      <c r="H3" s="1246"/>
      <c r="I3" s="1246"/>
      <c r="J3" s="1246"/>
      <c r="K3" s="1246"/>
      <c r="L3" s="1246"/>
      <c r="M3" s="1246"/>
      <c r="N3" s="1246"/>
      <c r="O3" s="1246"/>
      <c r="P3" s="1246"/>
      <c r="Q3" s="1246"/>
      <c r="R3" s="1246"/>
      <c r="S3" s="1246"/>
      <c r="T3" s="1246"/>
      <c r="U3" s="1246"/>
    </row>
    <row r="4" spans="1:24" ht="15.75" thickBot="1">
      <c r="A4" s="2"/>
      <c r="B4" s="2"/>
      <c r="C4" s="964"/>
      <c r="D4" s="964"/>
      <c r="E4" s="964"/>
      <c r="F4" s="964"/>
      <c r="G4" s="964"/>
      <c r="H4" s="964"/>
      <c r="I4" s="964"/>
      <c r="J4" s="964"/>
      <c r="K4" s="964"/>
      <c r="L4" s="964"/>
      <c r="M4" s="964"/>
      <c r="N4" s="964"/>
      <c r="O4" s="964"/>
      <c r="P4" s="964"/>
      <c r="Q4" s="964"/>
      <c r="R4" s="964"/>
      <c r="S4" s="964"/>
      <c r="T4" s="964"/>
      <c r="U4" s="964" t="s">
        <v>811</v>
      </c>
    </row>
    <row r="5" spans="1:24" ht="15.75" thickBot="1">
      <c r="A5" s="1244"/>
      <c r="B5" s="1244"/>
      <c r="C5" s="1255" t="s">
        <v>94</v>
      </c>
      <c r="D5" s="1253" t="s">
        <v>25</v>
      </c>
      <c r="E5" s="1253"/>
      <c r="F5" s="1253" t="s">
        <v>96</v>
      </c>
      <c r="G5" s="1253" t="s">
        <v>64</v>
      </c>
      <c r="H5" s="1258" t="s">
        <v>65</v>
      </c>
      <c r="I5" s="1253" t="s">
        <v>6</v>
      </c>
      <c r="J5" s="1253" t="s">
        <v>66</v>
      </c>
      <c r="K5" s="1247" t="s">
        <v>67</v>
      </c>
      <c r="L5" s="1247"/>
      <c r="M5" s="1247"/>
      <c r="N5" s="1247"/>
      <c r="O5" s="1247"/>
      <c r="P5" s="1247"/>
      <c r="Q5" s="1247"/>
      <c r="R5" s="1247"/>
      <c r="S5" s="1247"/>
      <c r="T5" s="1247"/>
      <c r="U5" s="1248"/>
    </row>
    <row r="6" spans="1:24" ht="16.5" thickTop="1" thickBot="1">
      <c r="A6" s="1244"/>
      <c r="B6" s="1244"/>
      <c r="C6" s="1256"/>
      <c r="D6" s="1254"/>
      <c r="E6" s="1254"/>
      <c r="F6" s="1254"/>
      <c r="G6" s="1254"/>
      <c r="H6" s="1259"/>
      <c r="I6" s="1254"/>
      <c r="J6" s="1254"/>
      <c r="K6" s="287" t="s">
        <v>49</v>
      </c>
      <c r="L6" s="287" t="s">
        <v>51</v>
      </c>
      <c r="M6" s="287" t="s">
        <v>34</v>
      </c>
      <c r="N6" s="287" t="s">
        <v>36</v>
      </c>
      <c r="O6" s="287" t="s">
        <v>38</v>
      </c>
      <c r="P6" s="287" t="s">
        <v>40</v>
      </c>
      <c r="Q6" s="287" t="s">
        <v>42</v>
      </c>
      <c r="R6" s="287" t="s">
        <v>44</v>
      </c>
      <c r="S6" s="1249" t="s">
        <v>46</v>
      </c>
      <c r="T6" s="1249"/>
      <c r="U6" s="76" t="s">
        <v>68</v>
      </c>
    </row>
    <row r="7" spans="1:24" ht="33.75" thickTop="1">
      <c r="A7" s="2"/>
      <c r="B7" s="2"/>
      <c r="C7" s="1256"/>
      <c r="D7" s="1254"/>
      <c r="E7" s="1254"/>
      <c r="F7" s="1254"/>
      <c r="G7" s="1254"/>
      <c r="H7" s="1259"/>
      <c r="I7" s="19" t="s">
        <v>69</v>
      </c>
      <c r="J7" s="1254"/>
      <c r="K7" s="288" t="s">
        <v>139</v>
      </c>
      <c r="L7" s="288" t="s">
        <v>140</v>
      </c>
      <c r="M7" s="288" t="s">
        <v>72</v>
      </c>
      <c r="N7" s="288" t="s">
        <v>141</v>
      </c>
      <c r="O7" s="288" t="s">
        <v>142</v>
      </c>
      <c r="P7" s="288" t="s">
        <v>143</v>
      </c>
      <c r="Q7" s="77" t="s">
        <v>365</v>
      </c>
      <c r="R7" s="288" t="s">
        <v>145</v>
      </c>
      <c r="S7" s="1250" t="s">
        <v>78</v>
      </c>
      <c r="T7" s="1250"/>
      <c r="U7" s="78" t="s">
        <v>68</v>
      </c>
    </row>
    <row r="8" spans="1:24">
      <c r="A8" s="2"/>
      <c r="B8" s="2"/>
      <c r="C8" s="79" t="s">
        <v>221</v>
      </c>
      <c r="D8" s="1245" t="s">
        <v>184</v>
      </c>
      <c r="E8" s="1245"/>
      <c r="F8" s="23" t="s">
        <v>185</v>
      </c>
      <c r="G8" s="286" t="s">
        <v>79</v>
      </c>
      <c r="H8" s="22" t="s">
        <v>80</v>
      </c>
      <c r="I8" s="286">
        <v>2025</v>
      </c>
      <c r="J8" s="23" t="s">
        <v>81</v>
      </c>
      <c r="K8" s="289">
        <v>0</v>
      </c>
      <c r="L8" s="289">
        <f>11201500000+L12</f>
        <v>21401500000</v>
      </c>
      <c r="M8" s="289">
        <v>3869168000</v>
      </c>
      <c r="N8" s="289">
        <v>680000000</v>
      </c>
      <c r="O8" s="289">
        <v>2863090000</v>
      </c>
      <c r="P8" s="289">
        <v>0</v>
      </c>
      <c r="Q8" s="289">
        <v>0</v>
      </c>
      <c r="R8" s="289">
        <v>0</v>
      </c>
      <c r="S8" s="1251">
        <v>40000000</v>
      </c>
      <c r="T8" s="1252"/>
      <c r="U8" s="80">
        <f>S8+R8+Q8+P8+O8+N8+M8+L8</f>
        <v>28853758000</v>
      </c>
      <c r="W8" s="44">
        <v>28853758000</v>
      </c>
      <c r="X8" s="37">
        <f>U8-W8</f>
        <v>0</v>
      </c>
    </row>
    <row r="9" spans="1:24">
      <c r="A9" s="2"/>
      <c r="B9" s="2"/>
      <c r="C9" s="79" t="s">
        <v>221</v>
      </c>
      <c r="D9" s="1245" t="s">
        <v>184</v>
      </c>
      <c r="E9" s="1245"/>
      <c r="F9" s="23" t="s">
        <v>185</v>
      </c>
      <c r="G9" s="286" t="s">
        <v>79</v>
      </c>
      <c r="H9" s="22" t="s">
        <v>80</v>
      </c>
      <c r="I9" s="286">
        <v>2025</v>
      </c>
      <c r="J9" s="23" t="s">
        <v>82</v>
      </c>
      <c r="K9" s="289">
        <v>0</v>
      </c>
      <c r="L9" s="289">
        <v>8836120000</v>
      </c>
      <c r="M9" s="289">
        <v>4861643950</v>
      </c>
      <c r="N9" s="289">
        <v>787160000</v>
      </c>
      <c r="O9" s="289">
        <v>3523090000</v>
      </c>
      <c r="P9" s="289">
        <v>0</v>
      </c>
      <c r="Q9" s="289">
        <v>0</v>
      </c>
      <c r="R9" s="289">
        <v>0</v>
      </c>
      <c r="S9" s="1260">
        <v>66240873</v>
      </c>
      <c r="T9" s="1260"/>
      <c r="U9" s="80">
        <f t="shared" ref="U9:U19" si="0">S9+R9+Q9+P9+O9+N9+M9+L9</f>
        <v>18074254823</v>
      </c>
    </row>
    <row r="10" spans="1:24">
      <c r="A10" s="2"/>
      <c r="B10" s="2"/>
      <c r="C10" s="79" t="s">
        <v>221</v>
      </c>
      <c r="D10" s="1245" t="s">
        <v>184</v>
      </c>
      <c r="E10" s="1245"/>
      <c r="F10" s="23" t="s">
        <v>185</v>
      </c>
      <c r="G10" s="286" t="s">
        <v>79</v>
      </c>
      <c r="H10" s="22" t="s">
        <v>80</v>
      </c>
      <c r="I10" s="286">
        <v>2025</v>
      </c>
      <c r="J10" s="23" t="s">
        <v>83</v>
      </c>
      <c r="K10" s="289">
        <v>0</v>
      </c>
      <c r="L10" s="289">
        <v>8225662187</v>
      </c>
      <c r="M10" s="289">
        <v>4851623432</v>
      </c>
      <c r="N10" s="289">
        <v>784786628</v>
      </c>
      <c r="O10" s="289">
        <v>3456990350</v>
      </c>
      <c r="P10" s="289">
        <v>0</v>
      </c>
      <c r="Q10" s="289">
        <v>0</v>
      </c>
      <c r="R10" s="289">
        <v>0</v>
      </c>
      <c r="S10" s="1260">
        <v>62271943</v>
      </c>
      <c r="T10" s="1260"/>
      <c r="U10" s="80">
        <f t="shared" si="0"/>
        <v>17381334540</v>
      </c>
    </row>
    <row r="11" spans="1:24">
      <c r="A11" s="2"/>
      <c r="B11" s="2"/>
      <c r="C11" s="79" t="s">
        <v>221</v>
      </c>
      <c r="D11" s="1245" t="s">
        <v>184</v>
      </c>
      <c r="E11" s="1245"/>
      <c r="F11" s="23" t="s">
        <v>185</v>
      </c>
      <c r="G11" s="286" t="s">
        <v>79</v>
      </c>
      <c r="H11" s="22" t="s">
        <v>80</v>
      </c>
      <c r="I11" s="286">
        <v>2025</v>
      </c>
      <c r="J11" s="23" t="s">
        <v>84</v>
      </c>
      <c r="K11" s="289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30">
        <v>0</v>
      </c>
      <c r="R11" s="130">
        <v>0</v>
      </c>
      <c r="S11" s="1261">
        <v>0</v>
      </c>
      <c r="T11" s="1261"/>
      <c r="U11" s="301">
        <f t="shared" si="0"/>
        <v>0</v>
      </c>
    </row>
    <row r="12" spans="1:24" ht="24">
      <c r="A12" s="2"/>
      <c r="B12" s="2"/>
      <c r="C12" s="79" t="s">
        <v>221</v>
      </c>
      <c r="D12" s="1245" t="s">
        <v>184</v>
      </c>
      <c r="E12" s="1245"/>
      <c r="F12" s="23" t="s">
        <v>185</v>
      </c>
      <c r="G12" s="286" t="s">
        <v>85</v>
      </c>
      <c r="H12" s="22" t="s">
        <v>86</v>
      </c>
      <c r="I12" s="286">
        <v>2025</v>
      </c>
      <c r="J12" s="23" t="s">
        <v>81</v>
      </c>
      <c r="K12" s="289">
        <v>0</v>
      </c>
      <c r="L12" s="289">
        <v>10200000000</v>
      </c>
      <c r="M12" s="289">
        <v>0</v>
      </c>
      <c r="N12" s="289">
        <v>0</v>
      </c>
      <c r="O12" s="289">
        <v>0</v>
      </c>
      <c r="P12" s="289">
        <v>0</v>
      </c>
      <c r="Q12" s="289">
        <v>0</v>
      </c>
      <c r="R12" s="289">
        <v>0</v>
      </c>
      <c r="S12" s="1260">
        <v>0</v>
      </c>
      <c r="T12" s="1260"/>
      <c r="U12" s="80">
        <f t="shared" si="0"/>
        <v>10200000000</v>
      </c>
    </row>
    <row r="13" spans="1:24" ht="24">
      <c r="A13" s="2"/>
      <c r="B13" s="2"/>
      <c r="C13" s="79" t="s">
        <v>221</v>
      </c>
      <c r="D13" s="1245" t="s">
        <v>184</v>
      </c>
      <c r="E13" s="1245"/>
      <c r="F13" s="23" t="s">
        <v>185</v>
      </c>
      <c r="G13" s="286" t="s">
        <v>85</v>
      </c>
      <c r="H13" s="22" t="s">
        <v>86</v>
      </c>
      <c r="I13" s="286">
        <v>2025</v>
      </c>
      <c r="J13" s="23" t="s">
        <v>82</v>
      </c>
      <c r="K13" s="289">
        <v>0</v>
      </c>
      <c r="L13" s="289">
        <v>11102400000</v>
      </c>
      <c r="M13" s="289">
        <v>0</v>
      </c>
      <c r="N13" s="289">
        <v>0</v>
      </c>
      <c r="O13" s="289">
        <v>0</v>
      </c>
      <c r="P13" s="289">
        <v>0</v>
      </c>
      <c r="Q13" s="289">
        <v>0</v>
      </c>
      <c r="R13" s="289">
        <v>0</v>
      </c>
      <c r="S13" s="1260">
        <v>0</v>
      </c>
      <c r="T13" s="1260"/>
      <c r="U13" s="80">
        <f t="shared" si="0"/>
        <v>11102400000</v>
      </c>
      <c r="W13" s="44">
        <v>11102400000</v>
      </c>
    </row>
    <row r="14" spans="1:24" ht="24">
      <c r="A14" s="2"/>
      <c r="B14" s="2"/>
      <c r="C14" s="79" t="s">
        <v>221</v>
      </c>
      <c r="D14" s="1245" t="s">
        <v>184</v>
      </c>
      <c r="E14" s="1245"/>
      <c r="F14" s="23" t="s">
        <v>185</v>
      </c>
      <c r="G14" s="286" t="s">
        <v>85</v>
      </c>
      <c r="H14" s="22" t="s">
        <v>86</v>
      </c>
      <c r="I14" s="286">
        <v>2025</v>
      </c>
      <c r="J14" s="23" t="s">
        <v>83</v>
      </c>
      <c r="K14" s="289">
        <v>0</v>
      </c>
      <c r="L14" s="300">
        <v>944575</v>
      </c>
      <c r="M14" s="289">
        <v>0</v>
      </c>
      <c r="N14" s="289">
        <v>0</v>
      </c>
      <c r="O14" s="289">
        <v>0</v>
      </c>
      <c r="P14" s="289">
        <v>0</v>
      </c>
      <c r="Q14" s="289">
        <v>0</v>
      </c>
      <c r="R14" s="289">
        <v>0</v>
      </c>
      <c r="S14" s="1260">
        <v>0</v>
      </c>
      <c r="T14" s="1260"/>
      <c r="U14" s="80">
        <f t="shared" si="0"/>
        <v>944575</v>
      </c>
    </row>
    <row r="15" spans="1:24" ht="24">
      <c r="A15" s="2"/>
      <c r="B15" s="2"/>
      <c r="C15" s="79" t="s">
        <v>221</v>
      </c>
      <c r="D15" s="1245" t="s">
        <v>184</v>
      </c>
      <c r="E15" s="1245"/>
      <c r="F15" s="23" t="s">
        <v>185</v>
      </c>
      <c r="G15" s="286" t="s">
        <v>85</v>
      </c>
      <c r="H15" s="22" t="s">
        <v>86</v>
      </c>
      <c r="I15" s="286">
        <v>2025</v>
      </c>
      <c r="J15" s="23" t="s">
        <v>84</v>
      </c>
      <c r="K15" s="289">
        <v>0</v>
      </c>
      <c r="L15" s="289">
        <v>0</v>
      </c>
      <c r="M15" s="289">
        <v>0</v>
      </c>
      <c r="N15" s="289">
        <v>0</v>
      </c>
      <c r="O15" s="289">
        <v>0</v>
      </c>
      <c r="P15" s="289">
        <v>0</v>
      </c>
      <c r="Q15" s="289">
        <v>0</v>
      </c>
      <c r="R15" s="289">
        <v>0</v>
      </c>
      <c r="S15" s="1260">
        <v>0</v>
      </c>
      <c r="T15" s="1260"/>
      <c r="U15" s="80">
        <f t="shared" si="0"/>
        <v>0</v>
      </c>
    </row>
    <row r="16" spans="1:24">
      <c r="A16" s="2"/>
      <c r="B16" s="2"/>
      <c r="C16" s="79" t="s">
        <v>221</v>
      </c>
      <c r="D16" s="1245" t="s">
        <v>184</v>
      </c>
      <c r="E16" s="1245"/>
      <c r="F16" s="23" t="s">
        <v>185</v>
      </c>
      <c r="G16" s="286"/>
      <c r="H16" s="22" t="s">
        <v>68</v>
      </c>
      <c r="I16" s="286">
        <v>2025</v>
      </c>
      <c r="J16" s="23" t="s">
        <v>81</v>
      </c>
      <c r="K16" s="289">
        <v>0</v>
      </c>
      <c r="L16" s="289">
        <f>L8</f>
        <v>21401500000</v>
      </c>
      <c r="M16" s="289">
        <f>M8</f>
        <v>3869168000</v>
      </c>
      <c r="N16" s="289">
        <f>N8</f>
        <v>680000000</v>
      </c>
      <c r="O16" s="289">
        <f>O8</f>
        <v>2863090000</v>
      </c>
      <c r="P16" s="289">
        <v>0</v>
      </c>
      <c r="Q16" s="289">
        <v>0</v>
      </c>
      <c r="R16" s="289">
        <v>0</v>
      </c>
      <c r="S16" s="1262">
        <f>S8</f>
        <v>40000000</v>
      </c>
      <c r="T16" s="1263">
        <v>0</v>
      </c>
      <c r="U16" s="80">
        <f t="shared" si="0"/>
        <v>28853758000</v>
      </c>
    </row>
    <row r="17" spans="1:23">
      <c r="A17" s="2"/>
      <c r="B17" s="2"/>
      <c r="C17" s="79" t="s">
        <v>221</v>
      </c>
      <c r="D17" s="1245" t="s">
        <v>184</v>
      </c>
      <c r="E17" s="1245"/>
      <c r="F17" s="23" t="s">
        <v>185</v>
      </c>
      <c r="G17" s="286"/>
      <c r="H17" s="22" t="s">
        <v>68</v>
      </c>
      <c r="I17" s="286">
        <v>2025</v>
      </c>
      <c r="J17" s="23" t="s">
        <v>82</v>
      </c>
      <c r="K17" s="289">
        <v>0</v>
      </c>
      <c r="L17" s="289">
        <f t="shared" ref="L17:O18" si="1">L9</f>
        <v>8836120000</v>
      </c>
      <c r="M17" s="289">
        <f t="shared" si="1"/>
        <v>4861643950</v>
      </c>
      <c r="N17" s="289">
        <f t="shared" si="1"/>
        <v>787160000</v>
      </c>
      <c r="O17" s="289">
        <f t="shared" si="1"/>
        <v>3523090000</v>
      </c>
      <c r="P17" s="289">
        <v>0</v>
      </c>
      <c r="Q17" s="289">
        <v>0</v>
      </c>
      <c r="R17" s="289">
        <v>0</v>
      </c>
      <c r="S17" s="1262">
        <f t="shared" ref="S17:S18" si="2">S9</f>
        <v>66240873</v>
      </c>
      <c r="T17" s="1263">
        <v>1</v>
      </c>
      <c r="U17" s="80">
        <f>S17+R17+Q17+P17+O17+N17+M17+L17</f>
        <v>18074254823</v>
      </c>
    </row>
    <row r="18" spans="1:23">
      <c r="A18" s="2"/>
      <c r="B18" s="2"/>
      <c r="C18" s="79" t="s">
        <v>221</v>
      </c>
      <c r="D18" s="1245" t="s">
        <v>184</v>
      </c>
      <c r="E18" s="1245"/>
      <c r="F18" s="23" t="s">
        <v>185</v>
      </c>
      <c r="G18" s="286"/>
      <c r="H18" s="22" t="s">
        <v>68</v>
      </c>
      <c r="I18" s="286">
        <v>2025</v>
      </c>
      <c r="J18" s="23" t="s">
        <v>83</v>
      </c>
      <c r="K18" s="289">
        <v>0</v>
      </c>
      <c r="L18" s="289">
        <f t="shared" si="1"/>
        <v>8225662187</v>
      </c>
      <c r="M18" s="289">
        <f t="shared" si="1"/>
        <v>4851623432</v>
      </c>
      <c r="N18" s="289">
        <f t="shared" si="1"/>
        <v>784786628</v>
      </c>
      <c r="O18" s="289">
        <f t="shared" si="1"/>
        <v>3456990350</v>
      </c>
      <c r="P18" s="289">
        <v>0</v>
      </c>
      <c r="Q18" s="289">
        <v>0</v>
      </c>
      <c r="R18" s="289">
        <v>0</v>
      </c>
      <c r="S18" s="1262">
        <f t="shared" si="2"/>
        <v>62271943</v>
      </c>
      <c r="T18" s="1263">
        <v>2</v>
      </c>
      <c r="U18" s="80">
        <f t="shared" si="0"/>
        <v>17381334540</v>
      </c>
    </row>
    <row r="19" spans="1:23">
      <c r="A19" s="2"/>
      <c r="B19" s="2"/>
      <c r="C19" s="79" t="s">
        <v>221</v>
      </c>
      <c r="D19" s="1245" t="s">
        <v>184</v>
      </c>
      <c r="E19" s="1245"/>
      <c r="F19" s="23" t="s">
        <v>185</v>
      </c>
      <c r="G19" s="286"/>
      <c r="H19" s="22" t="s">
        <v>68</v>
      </c>
      <c r="I19" s="286">
        <v>2025</v>
      </c>
      <c r="J19" s="23" t="s">
        <v>84</v>
      </c>
      <c r="K19" s="289">
        <v>0</v>
      </c>
      <c r="L19" s="289"/>
      <c r="M19" s="289"/>
      <c r="N19" s="289"/>
      <c r="O19" s="289"/>
      <c r="P19" s="289">
        <v>0</v>
      </c>
      <c r="Q19" s="289">
        <v>0</v>
      </c>
      <c r="R19" s="289">
        <v>0</v>
      </c>
      <c r="S19" s="1260">
        <v>0</v>
      </c>
      <c r="T19" s="1260">
        <v>0</v>
      </c>
      <c r="U19" s="80">
        <f t="shared" si="0"/>
        <v>0</v>
      </c>
    </row>
    <row r="20" spans="1:23" ht="24">
      <c r="A20" s="2"/>
      <c r="B20" s="2"/>
      <c r="C20" s="81" t="s">
        <v>221</v>
      </c>
      <c r="D20" s="1257" t="s">
        <v>184</v>
      </c>
      <c r="E20" s="1257"/>
      <c r="F20" s="82" t="s">
        <v>89</v>
      </c>
      <c r="G20" s="290"/>
      <c r="H20" s="82"/>
      <c r="I20" s="290">
        <v>2025</v>
      </c>
      <c r="J20" s="83"/>
      <c r="K20" s="291">
        <v>0</v>
      </c>
      <c r="L20" s="291">
        <f>L17-L16</f>
        <v>-12565380000</v>
      </c>
      <c r="M20" s="291">
        <f>M17-M16</f>
        <v>992475950</v>
      </c>
      <c r="N20" s="291">
        <f>N17-N16</f>
        <v>107160000</v>
      </c>
      <c r="O20" s="291">
        <f>O17-O16</f>
        <v>660000000</v>
      </c>
      <c r="P20" s="291">
        <v>0</v>
      </c>
      <c r="Q20" s="291">
        <v>0</v>
      </c>
      <c r="R20" s="291">
        <v>0</v>
      </c>
      <c r="S20" s="1264">
        <f>S17-S16</f>
        <v>26240873</v>
      </c>
      <c r="T20" s="1265">
        <f t="shared" ref="T20" si="3">T17-T18</f>
        <v>-1</v>
      </c>
      <c r="U20" s="84">
        <f>U17-U16</f>
        <v>-10779503177</v>
      </c>
      <c r="W20" s="44">
        <v>-10779503177</v>
      </c>
    </row>
    <row r="21" spans="1:23" ht="15.75" thickBot="1">
      <c r="A21" s="2"/>
      <c r="B21" s="2"/>
      <c r="C21" s="85" t="s">
        <v>221</v>
      </c>
      <c r="D21" s="1267" t="s">
        <v>184</v>
      </c>
      <c r="E21" s="1267"/>
      <c r="F21" s="86" t="s">
        <v>90</v>
      </c>
      <c r="G21" s="293"/>
      <c r="H21" s="87"/>
      <c r="I21" s="293">
        <v>2025</v>
      </c>
      <c r="J21" s="86"/>
      <c r="K21" s="292">
        <v>0</v>
      </c>
      <c r="L21" s="302">
        <f>L18/L17*100</f>
        <v>93.091336321824514</v>
      </c>
      <c r="M21" s="302">
        <f t="shared" ref="M21:O21" si="4">M18/M17*100</f>
        <v>99.793886222375463</v>
      </c>
      <c r="N21" s="302">
        <f t="shared" si="4"/>
        <v>99.698489252502668</v>
      </c>
      <c r="O21" s="302">
        <f t="shared" si="4"/>
        <v>98.123816025137018</v>
      </c>
      <c r="P21" s="302">
        <v>0</v>
      </c>
      <c r="Q21" s="302">
        <v>0</v>
      </c>
      <c r="R21" s="302">
        <v>0</v>
      </c>
      <c r="S21" s="1266">
        <v>99.793886222375463</v>
      </c>
      <c r="T21" s="1266"/>
      <c r="U21" s="303">
        <f t="shared" ref="U21" si="5">U18/U17*100</f>
        <v>96.166258084852046</v>
      </c>
    </row>
  </sheetData>
  <mergeCells count="41">
    <mergeCell ref="S18:T18"/>
    <mergeCell ref="S19:T19"/>
    <mergeCell ref="S20:T20"/>
    <mergeCell ref="S21:T21"/>
    <mergeCell ref="D21:E21"/>
    <mergeCell ref="S13:T13"/>
    <mergeCell ref="S14:T14"/>
    <mergeCell ref="S15:T15"/>
    <mergeCell ref="S16:T16"/>
    <mergeCell ref="S17:T17"/>
    <mergeCell ref="H5:H7"/>
    <mergeCell ref="S9:T9"/>
    <mergeCell ref="S10:T10"/>
    <mergeCell ref="S11:T11"/>
    <mergeCell ref="S12:T12"/>
    <mergeCell ref="D12:E12"/>
    <mergeCell ref="D13:E13"/>
    <mergeCell ref="D9:E9"/>
    <mergeCell ref="D10:E10"/>
    <mergeCell ref="D20:E20"/>
    <mergeCell ref="D18:E18"/>
    <mergeCell ref="D19:E19"/>
    <mergeCell ref="D17:E17"/>
    <mergeCell ref="D15:E15"/>
    <mergeCell ref="D16:E16"/>
    <mergeCell ref="C2:S2"/>
    <mergeCell ref="A5:B6"/>
    <mergeCell ref="D11:E11"/>
    <mergeCell ref="D8:E8"/>
    <mergeCell ref="D14:E14"/>
    <mergeCell ref="C3:U3"/>
    <mergeCell ref="K5:U5"/>
    <mergeCell ref="S6:T6"/>
    <mergeCell ref="S7:T7"/>
    <mergeCell ref="S8:T8"/>
    <mergeCell ref="I5:I6"/>
    <mergeCell ref="J5:J7"/>
    <mergeCell ref="C5:C7"/>
    <mergeCell ref="D5:E7"/>
    <mergeCell ref="F5:F7"/>
    <mergeCell ref="G5:G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W18"/>
  <sheetViews>
    <sheetView workbookViewId="0">
      <selection activeCell="Z18" sqref="Z18:Z19"/>
    </sheetView>
  </sheetViews>
  <sheetFormatPr defaultRowHeight="15"/>
  <cols>
    <col min="1" max="1" width="0.140625" customWidth="1"/>
    <col min="2" max="2" width="3.5703125" customWidth="1"/>
    <col min="3" max="3" width="1.28515625" customWidth="1"/>
    <col min="4" max="4" width="6" customWidth="1"/>
    <col min="5" max="5" width="18.85546875" customWidth="1"/>
    <col min="6" max="6" width="5" customWidth="1"/>
    <col min="7" max="7" width="9.85546875" customWidth="1"/>
    <col min="8" max="8" width="12" customWidth="1"/>
    <col min="9" max="9" width="11.28515625" customWidth="1"/>
    <col min="10" max="10" width="10.85546875" customWidth="1"/>
    <col min="11" max="11" width="11.42578125" customWidth="1"/>
    <col min="12" max="12" width="11.7109375" customWidth="1"/>
    <col min="13" max="13" width="10.140625" customWidth="1"/>
    <col min="14" max="14" width="13.5703125" customWidth="1"/>
    <col min="15" max="15" width="6.5703125" customWidth="1"/>
    <col min="16" max="16" width="7.42578125" customWidth="1"/>
    <col min="17" max="17" width="7.140625" customWidth="1"/>
    <col min="18" max="18" width="2.85546875" hidden="1" customWidth="1"/>
    <col min="19" max="19" width="10.28515625" customWidth="1"/>
    <col min="20" max="20" width="13.85546875" customWidth="1"/>
    <col min="21" max="21" width="11.85546875" customWidth="1"/>
    <col min="22" max="22" width="12.7109375" customWidth="1"/>
  </cols>
  <sheetData>
    <row r="1" spans="1:23">
      <c r="A1" s="2"/>
      <c r="B1" s="23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3" ht="18" customHeight="1">
      <c r="A2" s="2"/>
      <c r="B2" s="1243" t="s">
        <v>138</v>
      </c>
      <c r="C2" s="1243"/>
      <c r="D2" s="1243"/>
      <c r="E2" s="1243"/>
      <c r="F2" s="1243"/>
      <c r="G2" s="1243"/>
      <c r="H2" s="1243"/>
      <c r="I2" s="1243"/>
      <c r="J2" s="1243"/>
      <c r="K2" s="1243"/>
      <c r="L2" s="1243"/>
      <c r="M2" s="1243"/>
      <c r="N2" s="1243"/>
      <c r="O2" s="1243"/>
      <c r="P2" s="1243"/>
      <c r="Q2" s="1243"/>
      <c r="R2" s="1243"/>
      <c r="S2" s="2"/>
      <c r="T2" s="2"/>
    </row>
    <row r="3" spans="1:23" ht="21" customHeight="1">
      <c r="A3" s="2"/>
      <c r="B3" s="1270" t="s">
        <v>196</v>
      </c>
      <c r="C3" s="1270"/>
      <c r="D3" s="1270"/>
      <c r="E3" s="1270"/>
      <c r="F3" s="1270"/>
      <c r="G3" s="1270"/>
      <c r="H3" s="1270"/>
      <c r="I3" s="1270"/>
      <c r="J3" s="1270"/>
      <c r="K3" s="1270"/>
      <c r="L3" s="1270"/>
      <c r="M3" s="1270"/>
      <c r="N3" s="1270"/>
      <c r="O3" s="1270"/>
      <c r="P3" s="1270"/>
      <c r="Q3" s="1270"/>
      <c r="R3" s="1270"/>
      <c r="S3" s="1270"/>
      <c r="T3" s="1270"/>
    </row>
    <row r="4" spans="1:23" ht="21" customHeight="1" thickBot="1">
      <c r="A4" s="2"/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 t="s">
        <v>811</v>
      </c>
      <c r="T4" s="442"/>
    </row>
    <row r="5" spans="1:23" ht="15" customHeight="1" thickTop="1" thickBot="1">
      <c r="A5" s="1244"/>
      <c r="B5" s="1269" t="s">
        <v>63</v>
      </c>
      <c r="C5" s="1254" t="s">
        <v>25</v>
      </c>
      <c r="D5" s="1254"/>
      <c r="E5" s="1254" t="s">
        <v>96</v>
      </c>
      <c r="F5" s="1254" t="s">
        <v>64</v>
      </c>
      <c r="G5" s="1259" t="s">
        <v>65</v>
      </c>
      <c r="H5" s="1254" t="s">
        <v>6</v>
      </c>
      <c r="I5" s="1254" t="s">
        <v>66</v>
      </c>
      <c r="J5" s="1271" t="s">
        <v>67</v>
      </c>
      <c r="K5" s="1271"/>
      <c r="L5" s="1271"/>
      <c r="M5" s="1271"/>
      <c r="N5" s="1271"/>
      <c r="O5" s="1271"/>
      <c r="P5" s="1271"/>
      <c r="Q5" s="1271"/>
      <c r="R5" s="1271"/>
      <c r="S5" s="1271"/>
      <c r="T5" s="1271"/>
    </row>
    <row r="6" spans="1:23" ht="24" customHeight="1" thickTop="1" thickBot="1">
      <c r="A6" s="1244"/>
      <c r="B6" s="1269"/>
      <c r="C6" s="1254"/>
      <c r="D6" s="1254"/>
      <c r="E6" s="1254"/>
      <c r="F6" s="1254"/>
      <c r="G6" s="1259"/>
      <c r="H6" s="1254"/>
      <c r="I6" s="1254"/>
      <c r="J6" s="234" t="s">
        <v>49</v>
      </c>
      <c r="K6" s="234" t="s">
        <v>51</v>
      </c>
      <c r="L6" s="234" t="s">
        <v>34</v>
      </c>
      <c r="M6" s="234" t="s">
        <v>36</v>
      </c>
      <c r="N6" s="234" t="s">
        <v>38</v>
      </c>
      <c r="O6" s="234" t="s">
        <v>40</v>
      </c>
      <c r="P6" s="234" t="s">
        <v>42</v>
      </c>
      <c r="Q6" s="234" t="s">
        <v>44</v>
      </c>
      <c r="R6" s="1249" t="s">
        <v>46</v>
      </c>
      <c r="S6" s="1249"/>
      <c r="T6" s="18" t="s">
        <v>68</v>
      </c>
    </row>
    <row r="7" spans="1:23" ht="51" customHeight="1" thickTop="1">
      <c r="A7" s="2"/>
      <c r="B7" s="1269"/>
      <c r="C7" s="1254"/>
      <c r="D7" s="1254"/>
      <c r="E7" s="1254"/>
      <c r="F7" s="1254"/>
      <c r="G7" s="1259"/>
      <c r="H7" s="19" t="s">
        <v>69</v>
      </c>
      <c r="I7" s="1254"/>
      <c r="J7" s="235" t="s">
        <v>139</v>
      </c>
      <c r="K7" s="235" t="s">
        <v>140</v>
      </c>
      <c r="L7" s="235" t="s">
        <v>72</v>
      </c>
      <c r="M7" s="235" t="s">
        <v>141</v>
      </c>
      <c r="N7" s="235" t="s">
        <v>142</v>
      </c>
      <c r="O7" s="235" t="s">
        <v>143</v>
      </c>
      <c r="P7" s="235" t="s">
        <v>144</v>
      </c>
      <c r="Q7" s="235" t="s">
        <v>145</v>
      </c>
      <c r="R7" s="1250" t="s">
        <v>78</v>
      </c>
      <c r="S7" s="1250"/>
      <c r="T7" s="20" t="s">
        <v>68</v>
      </c>
    </row>
    <row r="8" spans="1:23" ht="22.5" customHeight="1">
      <c r="A8" s="2"/>
      <c r="B8" s="21" t="s">
        <v>221</v>
      </c>
      <c r="C8" s="1245" t="s">
        <v>186</v>
      </c>
      <c r="D8" s="1245"/>
      <c r="E8" s="23" t="s">
        <v>187</v>
      </c>
      <c r="F8" s="233" t="s">
        <v>79</v>
      </c>
      <c r="G8" s="22" t="s">
        <v>80</v>
      </c>
      <c r="H8" s="233">
        <v>2025</v>
      </c>
      <c r="I8" s="23" t="s">
        <v>81</v>
      </c>
      <c r="J8" s="236">
        <v>12204000</v>
      </c>
      <c r="K8" s="236">
        <v>1546296000</v>
      </c>
      <c r="L8" s="236">
        <v>3188700000</v>
      </c>
      <c r="M8" s="236">
        <v>514300000</v>
      </c>
      <c r="N8" s="236">
        <v>2750686000</v>
      </c>
      <c r="O8" s="236">
        <v>0</v>
      </c>
      <c r="P8" s="236">
        <v>0</v>
      </c>
      <c r="Q8" s="236">
        <v>0</v>
      </c>
      <c r="R8" s="1260">
        <v>301250000</v>
      </c>
      <c r="S8" s="1260"/>
      <c r="T8" s="41">
        <f>J8+K8+L8+M8+N8+R8</f>
        <v>8313436000</v>
      </c>
      <c r="W8" s="37"/>
    </row>
    <row r="9" spans="1:23" ht="22.5" customHeight="1">
      <c r="A9" s="2"/>
      <c r="B9" s="21" t="s">
        <v>221</v>
      </c>
      <c r="C9" s="1245" t="s">
        <v>186</v>
      </c>
      <c r="D9" s="1245"/>
      <c r="E9" s="23" t="s">
        <v>187</v>
      </c>
      <c r="F9" s="233" t="s">
        <v>79</v>
      </c>
      <c r="G9" s="22" t="s">
        <v>80</v>
      </c>
      <c r="H9" s="233">
        <v>2025</v>
      </c>
      <c r="I9" s="23" t="s">
        <v>82</v>
      </c>
      <c r="J9" s="236">
        <v>136837000</v>
      </c>
      <c r="K9" s="236">
        <v>2181018000</v>
      </c>
      <c r="L9" s="236">
        <v>3655358127</v>
      </c>
      <c r="M9" s="236">
        <v>605980000</v>
      </c>
      <c r="N9" s="236">
        <v>3110504000</v>
      </c>
      <c r="O9" s="236">
        <v>0</v>
      </c>
      <c r="P9" s="236">
        <v>0</v>
      </c>
      <c r="Q9" s="236">
        <v>0</v>
      </c>
      <c r="R9" s="1260">
        <v>288528999</v>
      </c>
      <c r="S9" s="1260"/>
      <c r="T9" s="24">
        <f t="shared" ref="T9:T16" si="0">J9+K9+L9+M9+N9+R9</f>
        <v>9978226126</v>
      </c>
      <c r="W9" s="37"/>
    </row>
    <row r="10" spans="1:23" ht="22.5" customHeight="1">
      <c r="A10" s="2"/>
      <c r="B10" s="21" t="s">
        <v>221</v>
      </c>
      <c r="C10" s="1245" t="s">
        <v>186</v>
      </c>
      <c r="D10" s="1245"/>
      <c r="E10" s="23" t="s">
        <v>187</v>
      </c>
      <c r="F10" s="233" t="s">
        <v>79</v>
      </c>
      <c r="G10" s="22" t="s">
        <v>80</v>
      </c>
      <c r="H10" s="233">
        <v>2025</v>
      </c>
      <c r="I10" s="23" t="s">
        <v>83</v>
      </c>
      <c r="J10" s="236">
        <v>126768605</v>
      </c>
      <c r="K10" s="236">
        <f>1943202555</f>
        <v>1943202555</v>
      </c>
      <c r="L10" s="236">
        <v>3643746554</v>
      </c>
      <c r="M10" s="236">
        <v>600774043</v>
      </c>
      <c r="N10" s="236">
        <v>3041395813</v>
      </c>
      <c r="O10" s="236">
        <v>0</v>
      </c>
      <c r="P10" s="236">
        <v>0</v>
      </c>
      <c r="Q10" s="236">
        <v>0</v>
      </c>
      <c r="R10" s="1260">
        <v>273641145</v>
      </c>
      <c r="S10" s="1260"/>
      <c r="T10" s="294">
        <f>J10+K10+L10+M10+N10+R10</f>
        <v>9629528715</v>
      </c>
      <c r="U10" s="295"/>
      <c r="V10" s="37"/>
      <c r="W10" s="37"/>
    </row>
    <row r="11" spans="1:23" ht="22.5" customHeight="1">
      <c r="A11" s="2"/>
      <c r="B11" s="21" t="s">
        <v>221</v>
      </c>
      <c r="C11" s="1245" t="s">
        <v>186</v>
      </c>
      <c r="D11" s="1245"/>
      <c r="E11" s="23" t="s">
        <v>187</v>
      </c>
      <c r="F11" s="233" t="s">
        <v>79</v>
      </c>
      <c r="G11" s="22" t="s">
        <v>80</v>
      </c>
      <c r="H11" s="233">
        <v>2025</v>
      </c>
      <c r="I11" s="23" t="s">
        <v>84</v>
      </c>
      <c r="J11" s="236"/>
      <c r="K11" s="236"/>
      <c r="L11" s="236"/>
      <c r="M11" s="236"/>
      <c r="N11" s="236"/>
      <c r="O11" s="236"/>
      <c r="P11" s="236"/>
      <c r="Q11" s="236"/>
      <c r="R11" s="1260"/>
      <c r="S11" s="1260"/>
      <c r="T11" s="24"/>
    </row>
    <row r="12" spans="1:23" ht="22.5" customHeight="1">
      <c r="A12" s="2"/>
      <c r="B12" s="21" t="s">
        <v>221</v>
      </c>
      <c r="C12" s="1245" t="s">
        <v>186</v>
      </c>
      <c r="D12" s="1245"/>
      <c r="E12" s="23" t="s">
        <v>187</v>
      </c>
      <c r="F12" s="233"/>
      <c r="G12" s="22" t="s">
        <v>68</v>
      </c>
      <c r="H12" s="233">
        <v>2025</v>
      </c>
      <c r="I12" s="23" t="s">
        <v>81</v>
      </c>
      <c r="J12" s="236">
        <v>12204000</v>
      </c>
      <c r="K12" s="236">
        <v>1546296000</v>
      </c>
      <c r="L12" s="236">
        <v>3188700000</v>
      </c>
      <c r="M12" s="236">
        <v>514300000</v>
      </c>
      <c r="N12" s="236">
        <v>2750686000</v>
      </c>
      <c r="O12" s="236">
        <v>0</v>
      </c>
      <c r="P12" s="236">
        <v>0</v>
      </c>
      <c r="Q12" s="236">
        <v>0</v>
      </c>
      <c r="R12" s="1260">
        <v>301250000</v>
      </c>
      <c r="S12" s="1260"/>
      <c r="T12" s="24">
        <f t="shared" si="0"/>
        <v>8313436000</v>
      </c>
      <c r="U12" s="37"/>
    </row>
    <row r="13" spans="1:23" ht="22.5" customHeight="1">
      <c r="A13" s="2"/>
      <c r="B13" s="21" t="s">
        <v>221</v>
      </c>
      <c r="C13" s="1245" t="s">
        <v>186</v>
      </c>
      <c r="D13" s="1245"/>
      <c r="E13" s="23" t="s">
        <v>187</v>
      </c>
      <c r="F13" s="233"/>
      <c r="G13" s="22" t="s">
        <v>68</v>
      </c>
      <c r="H13" s="233">
        <v>2025</v>
      </c>
      <c r="I13" s="23" t="s">
        <v>82</v>
      </c>
      <c r="J13" s="289">
        <v>136837000</v>
      </c>
      <c r="K13" s="289">
        <v>2181018000</v>
      </c>
      <c r="L13" s="236">
        <v>3655358127</v>
      </c>
      <c r="M13" s="236">
        <v>605980000</v>
      </c>
      <c r="N13" s="236">
        <v>3110504000</v>
      </c>
      <c r="O13" s="236">
        <v>0</v>
      </c>
      <c r="P13" s="236">
        <v>0</v>
      </c>
      <c r="Q13" s="236">
        <v>0</v>
      </c>
      <c r="R13" s="1260">
        <v>288528999</v>
      </c>
      <c r="S13" s="1260"/>
      <c r="T13" s="24">
        <f t="shared" si="0"/>
        <v>9978226126</v>
      </c>
      <c r="U13" s="37"/>
    </row>
    <row r="14" spans="1:23" ht="22.5" customHeight="1">
      <c r="A14" s="2"/>
      <c r="B14" s="21" t="s">
        <v>221</v>
      </c>
      <c r="C14" s="1245" t="s">
        <v>186</v>
      </c>
      <c r="D14" s="1245"/>
      <c r="E14" s="23" t="s">
        <v>187</v>
      </c>
      <c r="F14" s="233"/>
      <c r="G14" s="22" t="s">
        <v>68</v>
      </c>
      <c r="H14" s="233">
        <v>2025</v>
      </c>
      <c r="I14" s="23" t="s">
        <v>83</v>
      </c>
      <c r="J14" s="289">
        <v>126768605</v>
      </c>
      <c r="K14" s="289">
        <v>1943202555</v>
      </c>
      <c r="L14" s="236">
        <v>3643746554</v>
      </c>
      <c r="M14" s="236">
        <v>600774043</v>
      </c>
      <c r="N14" s="236">
        <v>3041395813</v>
      </c>
      <c r="O14" s="236">
        <v>0</v>
      </c>
      <c r="P14" s="236">
        <v>0</v>
      </c>
      <c r="Q14" s="236">
        <v>0</v>
      </c>
      <c r="R14" s="1260">
        <v>273641145</v>
      </c>
      <c r="S14" s="1260"/>
      <c r="T14" s="24">
        <f t="shared" si="0"/>
        <v>9629528715</v>
      </c>
      <c r="U14" s="37"/>
    </row>
    <row r="15" spans="1:23" ht="22.5" customHeight="1">
      <c r="A15" s="2"/>
      <c r="B15" s="21" t="s">
        <v>221</v>
      </c>
      <c r="C15" s="1245" t="s">
        <v>186</v>
      </c>
      <c r="D15" s="1245"/>
      <c r="E15" s="23" t="s">
        <v>187</v>
      </c>
      <c r="F15" s="233"/>
      <c r="G15" s="22" t="s">
        <v>68</v>
      </c>
      <c r="H15" s="233">
        <v>2025</v>
      </c>
      <c r="I15" s="23" t="s">
        <v>84</v>
      </c>
      <c r="J15" s="236"/>
      <c r="K15" s="236"/>
      <c r="L15" s="236"/>
      <c r="M15" s="236"/>
      <c r="N15" s="236"/>
      <c r="O15" s="236"/>
      <c r="P15" s="236"/>
      <c r="Q15" s="236"/>
      <c r="R15" s="1260"/>
      <c r="S15" s="1260"/>
      <c r="T15" s="24"/>
    </row>
    <row r="16" spans="1:23" ht="22.5" customHeight="1">
      <c r="A16" s="2"/>
      <c r="B16" s="21" t="s">
        <v>221</v>
      </c>
      <c r="C16" s="1245" t="s">
        <v>186</v>
      </c>
      <c r="D16" s="1245"/>
      <c r="E16" s="23" t="s">
        <v>89</v>
      </c>
      <c r="F16" s="233"/>
      <c r="G16" s="22"/>
      <c r="H16" s="233">
        <v>2025</v>
      </c>
      <c r="I16" s="23"/>
      <c r="J16" s="236">
        <f>J9-J10</f>
        <v>10068395</v>
      </c>
      <c r="K16" s="236">
        <f>K9-K10</f>
        <v>237815445</v>
      </c>
      <c r="L16" s="236">
        <f>L9-L10</f>
        <v>11611573</v>
      </c>
      <c r="M16" s="236">
        <f>M9-M10</f>
        <v>5205957</v>
      </c>
      <c r="N16" s="236">
        <f>N9-N10</f>
        <v>69108187</v>
      </c>
      <c r="O16" s="236">
        <v>0</v>
      </c>
      <c r="P16" s="236">
        <v>0</v>
      </c>
      <c r="Q16" s="236">
        <v>0</v>
      </c>
      <c r="R16" s="1260">
        <f>R9-R10</f>
        <v>14887854</v>
      </c>
      <c r="S16" s="1260"/>
      <c r="T16" s="24">
        <f t="shared" si="0"/>
        <v>348697411</v>
      </c>
    </row>
    <row r="17" spans="1:20" ht="22.5" customHeight="1">
      <c r="A17" s="2"/>
      <c r="B17" s="21" t="s">
        <v>221</v>
      </c>
      <c r="C17" s="1245" t="s">
        <v>186</v>
      </c>
      <c r="D17" s="1245"/>
      <c r="E17" s="23" t="s">
        <v>90</v>
      </c>
      <c r="F17" s="233"/>
      <c r="G17" s="22"/>
      <c r="H17" s="233">
        <v>2025</v>
      </c>
      <c r="I17" s="23"/>
      <c r="J17" s="1262">
        <v>89</v>
      </c>
      <c r="K17" s="1263"/>
      <c r="L17" s="1262">
        <v>99</v>
      </c>
      <c r="M17" s="1268"/>
      <c r="N17" s="1268"/>
      <c r="O17" s="1268"/>
      <c r="P17" s="1268"/>
      <c r="Q17" s="1268"/>
      <c r="R17" s="1268"/>
      <c r="S17" s="1263"/>
      <c r="T17" s="24">
        <f>T14/T9*100</f>
        <v>96.505416828634409</v>
      </c>
    </row>
    <row r="18" spans="1:20" ht="22.5" customHeight="1">
      <c r="A18" s="2"/>
      <c r="B18" s="21" t="s">
        <v>221</v>
      </c>
      <c r="C18" s="1245" t="s">
        <v>186</v>
      </c>
      <c r="D18" s="1245"/>
      <c r="E18" s="23" t="s">
        <v>108</v>
      </c>
      <c r="F18" s="233" t="s">
        <v>91</v>
      </c>
      <c r="G18" s="22"/>
      <c r="H18" s="233">
        <v>2025</v>
      </c>
      <c r="I18" s="23" t="s">
        <v>746</v>
      </c>
      <c r="J18" s="236">
        <v>0</v>
      </c>
      <c r="K18" s="236"/>
      <c r="L18" s="236">
        <v>0</v>
      </c>
      <c r="M18" s="236">
        <v>0</v>
      </c>
      <c r="N18" s="236">
        <v>0</v>
      </c>
      <c r="O18" s="236">
        <v>0</v>
      </c>
      <c r="P18" s="236">
        <v>0</v>
      </c>
      <c r="Q18" s="236">
        <v>0</v>
      </c>
      <c r="R18" s="1260">
        <v>0</v>
      </c>
      <c r="S18" s="1260"/>
      <c r="T18" s="24">
        <v>0</v>
      </c>
    </row>
  </sheetData>
  <mergeCells count="36">
    <mergeCell ref="F5:F7"/>
    <mergeCell ref="G5:G7"/>
    <mergeCell ref="B2:R2"/>
    <mergeCell ref="B3:T3"/>
    <mergeCell ref="H5:H6"/>
    <mergeCell ref="I5:I7"/>
    <mergeCell ref="J5:T5"/>
    <mergeCell ref="R6:S6"/>
    <mergeCell ref="R7:S7"/>
    <mergeCell ref="A5:A6"/>
    <mergeCell ref="B5:B7"/>
    <mergeCell ref="C5:D7"/>
    <mergeCell ref="E5:E7"/>
    <mergeCell ref="C8:D8"/>
    <mergeCell ref="R8:S8"/>
    <mergeCell ref="C9:D9"/>
    <mergeCell ref="R9:S9"/>
    <mergeCell ref="C10:D10"/>
    <mergeCell ref="R10:S10"/>
    <mergeCell ref="R11:S11"/>
    <mergeCell ref="C12:D12"/>
    <mergeCell ref="R12:S12"/>
    <mergeCell ref="C13:D13"/>
    <mergeCell ref="R13:S13"/>
    <mergeCell ref="C11:D11"/>
    <mergeCell ref="R18:S18"/>
    <mergeCell ref="J17:K17"/>
    <mergeCell ref="L17:S17"/>
    <mergeCell ref="R14:S14"/>
    <mergeCell ref="C15:D15"/>
    <mergeCell ref="R15:S15"/>
    <mergeCell ref="C16:D16"/>
    <mergeCell ref="R16:S16"/>
    <mergeCell ref="C14:D14"/>
    <mergeCell ref="C17:D17"/>
    <mergeCell ref="C18:D18"/>
  </mergeCells>
  <pageMargins left="0.21" right="0.2" top="0.75" bottom="0.75" header="0.3" footer="0.3"/>
  <pageSetup scale="9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19"/>
  <sheetViews>
    <sheetView topLeftCell="A2" workbookViewId="0">
      <selection activeCell="T28" sqref="T27:T28"/>
    </sheetView>
  </sheetViews>
  <sheetFormatPr defaultRowHeight="15"/>
  <cols>
    <col min="1" max="1" width="3.28515625" style="91" customWidth="1"/>
    <col min="2" max="2" width="0.140625" style="91" customWidth="1"/>
    <col min="3" max="3" width="7.42578125" style="91" customWidth="1"/>
    <col min="4" max="4" width="1.28515625" style="91" customWidth="1"/>
    <col min="5" max="5" width="6.5703125" style="91" customWidth="1"/>
    <col min="6" max="6" width="17" style="91" customWidth="1"/>
    <col min="7" max="7" width="7.7109375" style="91" customWidth="1"/>
    <col min="8" max="8" width="11.85546875" style="91" customWidth="1"/>
    <col min="9" max="9" width="8.28515625" style="91" customWidth="1"/>
    <col min="10" max="10" width="8.85546875" style="91" customWidth="1"/>
    <col min="11" max="11" width="8.42578125" style="91" customWidth="1"/>
    <col min="12" max="12" width="9.7109375" style="91" customWidth="1"/>
    <col min="13" max="13" width="10.42578125" style="91" customWidth="1"/>
    <col min="14" max="14" width="9.5703125" style="91" customWidth="1"/>
    <col min="15" max="15" width="9.85546875" style="91" customWidth="1"/>
    <col min="16" max="16" width="8" style="91" customWidth="1"/>
    <col min="17" max="17" width="8.140625" style="91" customWidth="1"/>
    <col min="18" max="18" width="8.28515625" style="91" customWidth="1"/>
    <col min="19" max="19" width="9.42578125" style="91" customWidth="1"/>
    <col min="20" max="20" width="11.85546875" style="91" customWidth="1"/>
    <col min="21" max="256" width="9.140625" style="91"/>
    <col min="257" max="257" width="3.28515625" style="91" customWidth="1"/>
    <col min="258" max="258" width="0.140625" style="91" customWidth="1"/>
    <col min="259" max="259" width="7.42578125" style="91" customWidth="1"/>
    <col min="260" max="260" width="1.28515625" style="91" customWidth="1"/>
    <col min="261" max="261" width="6.5703125" style="91" customWidth="1"/>
    <col min="262" max="262" width="17" style="91" customWidth="1"/>
    <col min="263" max="263" width="7.7109375" style="91" customWidth="1"/>
    <col min="264" max="264" width="11.85546875" style="91" customWidth="1"/>
    <col min="265" max="265" width="8.28515625" style="91" customWidth="1"/>
    <col min="266" max="266" width="8.85546875" style="91" customWidth="1"/>
    <col min="267" max="267" width="8.42578125" style="91" customWidth="1"/>
    <col min="268" max="268" width="9.7109375" style="91" customWidth="1"/>
    <col min="269" max="269" width="10.42578125" style="91" customWidth="1"/>
    <col min="270" max="270" width="9.5703125" style="91" customWidth="1"/>
    <col min="271" max="271" width="9.85546875" style="91" customWidth="1"/>
    <col min="272" max="272" width="8" style="91" customWidth="1"/>
    <col min="273" max="273" width="8.140625" style="91" customWidth="1"/>
    <col min="274" max="274" width="8.28515625" style="91" customWidth="1"/>
    <col min="275" max="275" width="9.42578125" style="91" customWidth="1"/>
    <col min="276" max="276" width="11.85546875" style="91" customWidth="1"/>
    <col min="277" max="512" width="9.140625" style="91"/>
    <col min="513" max="513" width="3.28515625" style="91" customWidth="1"/>
    <col min="514" max="514" width="0.140625" style="91" customWidth="1"/>
    <col min="515" max="515" width="7.42578125" style="91" customWidth="1"/>
    <col min="516" max="516" width="1.28515625" style="91" customWidth="1"/>
    <col min="517" max="517" width="6.5703125" style="91" customWidth="1"/>
    <col min="518" max="518" width="17" style="91" customWidth="1"/>
    <col min="519" max="519" width="7.7109375" style="91" customWidth="1"/>
    <col min="520" max="520" width="11.85546875" style="91" customWidth="1"/>
    <col min="521" max="521" width="8.28515625" style="91" customWidth="1"/>
    <col min="522" max="522" width="8.85546875" style="91" customWidth="1"/>
    <col min="523" max="523" width="8.42578125" style="91" customWidth="1"/>
    <col min="524" max="524" width="9.7109375" style="91" customWidth="1"/>
    <col min="525" max="525" width="10.42578125" style="91" customWidth="1"/>
    <col min="526" max="526" width="9.5703125" style="91" customWidth="1"/>
    <col min="527" max="527" width="9.85546875" style="91" customWidth="1"/>
    <col min="528" max="528" width="8" style="91" customWidth="1"/>
    <col min="529" max="529" width="8.140625" style="91" customWidth="1"/>
    <col min="530" max="530" width="8.28515625" style="91" customWidth="1"/>
    <col min="531" max="531" width="9.42578125" style="91" customWidth="1"/>
    <col min="532" max="532" width="11.85546875" style="91" customWidth="1"/>
    <col min="533" max="768" width="9.140625" style="91"/>
    <col min="769" max="769" width="3.28515625" style="91" customWidth="1"/>
    <col min="770" max="770" width="0.140625" style="91" customWidth="1"/>
    <col min="771" max="771" width="7.42578125" style="91" customWidth="1"/>
    <col min="772" max="772" width="1.28515625" style="91" customWidth="1"/>
    <col min="773" max="773" width="6.5703125" style="91" customWidth="1"/>
    <col min="774" max="774" width="17" style="91" customWidth="1"/>
    <col min="775" max="775" width="7.7109375" style="91" customWidth="1"/>
    <col min="776" max="776" width="11.85546875" style="91" customWidth="1"/>
    <col min="777" max="777" width="8.28515625" style="91" customWidth="1"/>
    <col min="778" max="778" width="8.85546875" style="91" customWidth="1"/>
    <col min="779" max="779" width="8.42578125" style="91" customWidth="1"/>
    <col min="780" max="780" width="9.7109375" style="91" customWidth="1"/>
    <col min="781" max="781" width="10.42578125" style="91" customWidth="1"/>
    <col min="782" max="782" width="9.5703125" style="91" customWidth="1"/>
    <col min="783" max="783" width="9.85546875" style="91" customWidth="1"/>
    <col min="784" max="784" width="8" style="91" customWidth="1"/>
    <col min="785" max="785" width="8.140625" style="91" customWidth="1"/>
    <col min="786" max="786" width="8.28515625" style="91" customWidth="1"/>
    <col min="787" max="787" width="9.42578125" style="91" customWidth="1"/>
    <col min="788" max="788" width="11.85546875" style="91" customWidth="1"/>
    <col min="789" max="1024" width="9.140625" style="91"/>
    <col min="1025" max="1025" width="3.28515625" style="91" customWidth="1"/>
    <col min="1026" max="1026" width="0.140625" style="91" customWidth="1"/>
    <col min="1027" max="1027" width="7.42578125" style="91" customWidth="1"/>
    <col min="1028" max="1028" width="1.28515625" style="91" customWidth="1"/>
    <col min="1029" max="1029" width="6.5703125" style="91" customWidth="1"/>
    <col min="1030" max="1030" width="17" style="91" customWidth="1"/>
    <col min="1031" max="1031" width="7.7109375" style="91" customWidth="1"/>
    <col min="1032" max="1032" width="11.85546875" style="91" customWidth="1"/>
    <col min="1033" max="1033" width="8.28515625" style="91" customWidth="1"/>
    <col min="1034" max="1034" width="8.85546875" style="91" customWidth="1"/>
    <col min="1035" max="1035" width="8.42578125" style="91" customWidth="1"/>
    <col min="1036" max="1036" width="9.7109375" style="91" customWidth="1"/>
    <col min="1037" max="1037" width="10.42578125" style="91" customWidth="1"/>
    <col min="1038" max="1038" width="9.5703125" style="91" customWidth="1"/>
    <col min="1039" max="1039" width="9.85546875" style="91" customWidth="1"/>
    <col min="1040" max="1040" width="8" style="91" customWidth="1"/>
    <col min="1041" max="1041" width="8.140625" style="91" customWidth="1"/>
    <col min="1042" max="1042" width="8.28515625" style="91" customWidth="1"/>
    <col min="1043" max="1043" width="9.42578125" style="91" customWidth="1"/>
    <col min="1044" max="1044" width="11.85546875" style="91" customWidth="1"/>
    <col min="1045" max="1280" width="9.140625" style="91"/>
    <col min="1281" max="1281" width="3.28515625" style="91" customWidth="1"/>
    <col min="1282" max="1282" width="0.140625" style="91" customWidth="1"/>
    <col min="1283" max="1283" width="7.42578125" style="91" customWidth="1"/>
    <col min="1284" max="1284" width="1.28515625" style="91" customWidth="1"/>
    <col min="1285" max="1285" width="6.5703125" style="91" customWidth="1"/>
    <col min="1286" max="1286" width="17" style="91" customWidth="1"/>
    <col min="1287" max="1287" width="7.7109375" style="91" customWidth="1"/>
    <col min="1288" max="1288" width="11.85546875" style="91" customWidth="1"/>
    <col min="1289" max="1289" width="8.28515625" style="91" customWidth="1"/>
    <col min="1290" max="1290" width="8.85546875" style="91" customWidth="1"/>
    <col min="1291" max="1291" width="8.42578125" style="91" customWidth="1"/>
    <col min="1292" max="1292" width="9.7109375" style="91" customWidth="1"/>
    <col min="1293" max="1293" width="10.42578125" style="91" customWidth="1"/>
    <col min="1294" max="1294" width="9.5703125" style="91" customWidth="1"/>
    <col min="1295" max="1295" width="9.85546875" style="91" customWidth="1"/>
    <col min="1296" max="1296" width="8" style="91" customWidth="1"/>
    <col min="1297" max="1297" width="8.140625" style="91" customWidth="1"/>
    <col min="1298" max="1298" width="8.28515625" style="91" customWidth="1"/>
    <col min="1299" max="1299" width="9.42578125" style="91" customWidth="1"/>
    <col min="1300" max="1300" width="11.85546875" style="91" customWidth="1"/>
    <col min="1301" max="1536" width="9.140625" style="91"/>
    <col min="1537" max="1537" width="3.28515625" style="91" customWidth="1"/>
    <col min="1538" max="1538" width="0.140625" style="91" customWidth="1"/>
    <col min="1539" max="1539" width="7.42578125" style="91" customWidth="1"/>
    <col min="1540" max="1540" width="1.28515625" style="91" customWidth="1"/>
    <col min="1541" max="1541" width="6.5703125" style="91" customWidth="1"/>
    <col min="1542" max="1542" width="17" style="91" customWidth="1"/>
    <col min="1543" max="1543" width="7.7109375" style="91" customWidth="1"/>
    <col min="1544" max="1544" width="11.85546875" style="91" customWidth="1"/>
    <col min="1545" max="1545" width="8.28515625" style="91" customWidth="1"/>
    <col min="1546" max="1546" width="8.85546875" style="91" customWidth="1"/>
    <col min="1547" max="1547" width="8.42578125" style="91" customWidth="1"/>
    <col min="1548" max="1548" width="9.7109375" style="91" customWidth="1"/>
    <col min="1549" max="1549" width="10.42578125" style="91" customWidth="1"/>
    <col min="1550" max="1550" width="9.5703125" style="91" customWidth="1"/>
    <col min="1551" max="1551" width="9.85546875" style="91" customWidth="1"/>
    <col min="1552" max="1552" width="8" style="91" customWidth="1"/>
    <col min="1553" max="1553" width="8.140625" style="91" customWidth="1"/>
    <col min="1554" max="1554" width="8.28515625" style="91" customWidth="1"/>
    <col min="1555" max="1555" width="9.42578125" style="91" customWidth="1"/>
    <col min="1556" max="1556" width="11.85546875" style="91" customWidth="1"/>
    <col min="1557" max="1792" width="9.140625" style="91"/>
    <col min="1793" max="1793" width="3.28515625" style="91" customWidth="1"/>
    <col min="1794" max="1794" width="0.140625" style="91" customWidth="1"/>
    <col min="1795" max="1795" width="7.42578125" style="91" customWidth="1"/>
    <col min="1796" max="1796" width="1.28515625" style="91" customWidth="1"/>
    <col min="1797" max="1797" width="6.5703125" style="91" customWidth="1"/>
    <col min="1798" max="1798" width="17" style="91" customWidth="1"/>
    <col min="1799" max="1799" width="7.7109375" style="91" customWidth="1"/>
    <col min="1800" max="1800" width="11.85546875" style="91" customWidth="1"/>
    <col min="1801" max="1801" width="8.28515625" style="91" customWidth="1"/>
    <col min="1802" max="1802" width="8.85546875" style="91" customWidth="1"/>
    <col min="1803" max="1803" width="8.42578125" style="91" customWidth="1"/>
    <col min="1804" max="1804" width="9.7109375" style="91" customWidth="1"/>
    <col min="1805" max="1805" width="10.42578125" style="91" customWidth="1"/>
    <col min="1806" max="1806" width="9.5703125" style="91" customWidth="1"/>
    <col min="1807" max="1807" width="9.85546875" style="91" customWidth="1"/>
    <col min="1808" max="1808" width="8" style="91" customWidth="1"/>
    <col min="1809" max="1809" width="8.140625" style="91" customWidth="1"/>
    <col min="1810" max="1810" width="8.28515625" style="91" customWidth="1"/>
    <col min="1811" max="1811" width="9.42578125" style="91" customWidth="1"/>
    <col min="1812" max="1812" width="11.85546875" style="91" customWidth="1"/>
    <col min="1813" max="2048" width="9.140625" style="91"/>
    <col min="2049" max="2049" width="3.28515625" style="91" customWidth="1"/>
    <col min="2050" max="2050" width="0.140625" style="91" customWidth="1"/>
    <col min="2051" max="2051" width="7.42578125" style="91" customWidth="1"/>
    <col min="2052" max="2052" width="1.28515625" style="91" customWidth="1"/>
    <col min="2053" max="2053" width="6.5703125" style="91" customWidth="1"/>
    <col min="2054" max="2054" width="17" style="91" customWidth="1"/>
    <col min="2055" max="2055" width="7.7109375" style="91" customWidth="1"/>
    <col min="2056" max="2056" width="11.85546875" style="91" customWidth="1"/>
    <col min="2057" max="2057" width="8.28515625" style="91" customWidth="1"/>
    <col min="2058" max="2058" width="8.85546875" style="91" customWidth="1"/>
    <col min="2059" max="2059" width="8.42578125" style="91" customWidth="1"/>
    <col min="2060" max="2060" width="9.7109375" style="91" customWidth="1"/>
    <col min="2061" max="2061" width="10.42578125" style="91" customWidth="1"/>
    <col min="2062" max="2062" width="9.5703125" style="91" customWidth="1"/>
    <col min="2063" max="2063" width="9.85546875" style="91" customWidth="1"/>
    <col min="2064" max="2064" width="8" style="91" customWidth="1"/>
    <col min="2065" max="2065" width="8.140625" style="91" customWidth="1"/>
    <col min="2066" max="2066" width="8.28515625" style="91" customWidth="1"/>
    <col min="2067" max="2067" width="9.42578125" style="91" customWidth="1"/>
    <col min="2068" max="2068" width="11.85546875" style="91" customWidth="1"/>
    <col min="2069" max="2304" width="9.140625" style="91"/>
    <col min="2305" max="2305" width="3.28515625" style="91" customWidth="1"/>
    <col min="2306" max="2306" width="0.140625" style="91" customWidth="1"/>
    <col min="2307" max="2307" width="7.42578125" style="91" customWidth="1"/>
    <col min="2308" max="2308" width="1.28515625" style="91" customWidth="1"/>
    <col min="2309" max="2309" width="6.5703125" style="91" customWidth="1"/>
    <col min="2310" max="2310" width="17" style="91" customWidth="1"/>
    <col min="2311" max="2311" width="7.7109375" style="91" customWidth="1"/>
    <col min="2312" max="2312" width="11.85546875" style="91" customWidth="1"/>
    <col min="2313" max="2313" width="8.28515625" style="91" customWidth="1"/>
    <col min="2314" max="2314" width="8.85546875" style="91" customWidth="1"/>
    <col min="2315" max="2315" width="8.42578125" style="91" customWidth="1"/>
    <col min="2316" max="2316" width="9.7109375" style="91" customWidth="1"/>
    <col min="2317" max="2317" width="10.42578125" style="91" customWidth="1"/>
    <col min="2318" max="2318" width="9.5703125" style="91" customWidth="1"/>
    <col min="2319" max="2319" width="9.85546875" style="91" customWidth="1"/>
    <col min="2320" max="2320" width="8" style="91" customWidth="1"/>
    <col min="2321" max="2321" width="8.140625" style="91" customWidth="1"/>
    <col min="2322" max="2322" width="8.28515625" style="91" customWidth="1"/>
    <col min="2323" max="2323" width="9.42578125" style="91" customWidth="1"/>
    <col min="2324" max="2324" width="11.85546875" style="91" customWidth="1"/>
    <col min="2325" max="2560" width="9.140625" style="91"/>
    <col min="2561" max="2561" width="3.28515625" style="91" customWidth="1"/>
    <col min="2562" max="2562" width="0.140625" style="91" customWidth="1"/>
    <col min="2563" max="2563" width="7.42578125" style="91" customWidth="1"/>
    <col min="2564" max="2564" width="1.28515625" style="91" customWidth="1"/>
    <col min="2565" max="2565" width="6.5703125" style="91" customWidth="1"/>
    <col min="2566" max="2566" width="17" style="91" customWidth="1"/>
    <col min="2567" max="2567" width="7.7109375" style="91" customWidth="1"/>
    <col min="2568" max="2568" width="11.85546875" style="91" customWidth="1"/>
    <col min="2569" max="2569" width="8.28515625" style="91" customWidth="1"/>
    <col min="2570" max="2570" width="8.85546875" style="91" customWidth="1"/>
    <col min="2571" max="2571" width="8.42578125" style="91" customWidth="1"/>
    <col min="2572" max="2572" width="9.7109375" style="91" customWidth="1"/>
    <col min="2573" max="2573" width="10.42578125" style="91" customWidth="1"/>
    <col min="2574" max="2574" width="9.5703125" style="91" customWidth="1"/>
    <col min="2575" max="2575" width="9.85546875" style="91" customWidth="1"/>
    <col min="2576" max="2576" width="8" style="91" customWidth="1"/>
    <col min="2577" max="2577" width="8.140625" style="91" customWidth="1"/>
    <col min="2578" max="2578" width="8.28515625" style="91" customWidth="1"/>
    <col min="2579" max="2579" width="9.42578125" style="91" customWidth="1"/>
    <col min="2580" max="2580" width="11.85546875" style="91" customWidth="1"/>
    <col min="2581" max="2816" width="9.140625" style="91"/>
    <col min="2817" max="2817" width="3.28515625" style="91" customWidth="1"/>
    <col min="2818" max="2818" width="0.140625" style="91" customWidth="1"/>
    <col min="2819" max="2819" width="7.42578125" style="91" customWidth="1"/>
    <col min="2820" max="2820" width="1.28515625" style="91" customWidth="1"/>
    <col min="2821" max="2821" width="6.5703125" style="91" customWidth="1"/>
    <col min="2822" max="2822" width="17" style="91" customWidth="1"/>
    <col min="2823" max="2823" width="7.7109375" style="91" customWidth="1"/>
    <col min="2824" max="2824" width="11.85546875" style="91" customWidth="1"/>
    <col min="2825" max="2825" width="8.28515625" style="91" customWidth="1"/>
    <col min="2826" max="2826" width="8.85546875" style="91" customWidth="1"/>
    <col min="2827" max="2827" width="8.42578125" style="91" customWidth="1"/>
    <col min="2828" max="2828" width="9.7109375" style="91" customWidth="1"/>
    <col min="2829" max="2829" width="10.42578125" style="91" customWidth="1"/>
    <col min="2830" max="2830" width="9.5703125" style="91" customWidth="1"/>
    <col min="2831" max="2831" width="9.85546875" style="91" customWidth="1"/>
    <col min="2832" max="2832" width="8" style="91" customWidth="1"/>
    <col min="2833" max="2833" width="8.140625" style="91" customWidth="1"/>
    <col min="2834" max="2834" width="8.28515625" style="91" customWidth="1"/>
    <col min="2835" max="2835" width="9.42578125" style="91" customWidth="1"/>
    <col min="2836" max="2836" width="11.85546875" style="91" customWidth="1"/>
    <col min="2837" max="3072" width="9.140625" style="91"/>
    <col min="3073" max="3073" width="3.28515625" style="91" customWidth="1"/>
    <col min="3074" max="3074" width="0.140625" style="91" customWidth="1"/>
    <col min="3075" max="3075" width="7.42578125" style="91" customWidth="1"/>
    <col min="3076" max="3076" width="1.28515625" style="91" customWidth="1"/>
    <col min="3077" max="3077" width="6.5703125" style="91" customWidth="1"/>
    <col min="3078" max="3078" width="17" style="91" customWidth="1"/>
    <col min="3079" max="3079" width="7.7109375" style="91" customWidth="1"/>
    <col min="3080" max="3080" width="11.85546875" style="91" customWidth="1"/>
    <col min="3081" max="3081" width="8.28515625" style="91" customWidth="1"/>
    <col min="3082" max="3082" width="8.85546875" style="91" customWidth="1"/>
    <col min="3083" max="3083" width="8.42578125" style="91" customWidth="1"/>
    <col min="3084" max="3084" width="9.7109375" style="91" customWidth="1"/>
    <col min="3085" max="3085" width="10.42578125" style="91" customWidth="1"/>
    <col min="3086" max="3086" width="9.5703125" style="91" customWidth="1"/>
    <col min="3087" max="3087" width="9.85546875" style="91" customWidth="1"/>
    <col min="3088" max="3088" width="8" style="91" customWidth="1"/>
    <col min="3089" max="3089" width="8.140625" style="91" customWidth="1"/>
    <col min="3090" max="3090" width="8.28515625" style="91" customWidth="1"/>
    <col min="3091" max="3091" width="9.42578125" style="91" customWidth="1"/>
    <col min="3092" max="3092" width="11.85546875" style="91" customWidth="1"/>
    <col min="3093" max="3328" width="9.140625" style="91"/>
    <col min="3329" max="3329" width="3.28515625" style="91" customWidth="1"/>
    <col min="3330" max="3330" width="0.140625" style="91" customWidth="1"/>
    <col min="3331" max="3331" width="7.42578125" style="91" customWidth="1"/>
    <col min="3332" max="3332" width="1.28515625" style="91" customWidth="1"/>
    <col min="3333" max="3333" width="6.5703125" style="91" customWidth="1"/>
    <col min="3334" max="3334" width="17" style="91" customWidth="1"/>
    <col min="3335" max="3335" width="7.7109375" style="91" customWidth="1"/>
    <col min="3336" max="3336" width="11.85546875" style="91" customWidth="1"/>
    <col min="3337" max="3337" width="8.28515625" style="91" customWidth="1"/>
    <col min="3338" max="3338" width="8.85546875" style="91" customWidth="1"/>
    <col min="3339" max="3339" width="8.42578125" style="91" customWidth="1"/>
    <col min="3340" max="3340" width="9.7109375" style="91" customWidth="1"/>
    <col min="3341" max="3341" width="10.42578125" style="91" customWidth="1"/>
    <col min="3342" max="3342" width="9.5703125" style="91" customWidth="1"/>
    <col min="3343" max="3343" width="9.85546875" style="91" customWidth="1"/>
    <col min="3344" max="3344" width="8" style="91" customWidth="1"/>
    <col min="3345" max="3345" width="8.140625" style="91" customWidth="1"/>
    <col min="3346" max="3346" width="8.28515625" style="91" customWidth="1"/>
    <col min="3347" max="3347" width="9.42578125" style="91" customWidth="1"/>
    <col min="3348" max="3348" width="11.85546875" style="91" customWidth="1"/>
    <col min="3349" max="3584" width="9.140625" style="91"/>
    <col min="3585" max="3585" width="3.28515625" style="91" customWidth="1"/>
    <col min="3586" max="3586" width="0.140625" style="91" customWidth="1"/>
    <col min="3587" max="3587" width="7.42578125" style="91" customWidth="1"/>
    <col min="3588" max="3588" width="1.28515625" style="91" customWidth="1"/>
    <col min="3589" max="3589" width="6.5703125" style="91" customWidth="1"/>
    <col min="3590" max="3590" width="17" style="91" customWidth="1"/>
    <col min="3591" max="3591" width="7.7109375" style="91" customWidth="1"/>
    <col min="3592" max="3592" width="11.85546875" style="91" customWidth="1"/>
    <col min="3593" max="3593" width="8.28515625" style="91" customWidth="1"/>
    <col min="3594" max="3594" width="8.85546875" style="91" customWidth="1"/>
    <col min="3595" max="3595" width="8.42578125" style="91" customWidth="1"/>
    <col min="3596" max="3596" width="9.7109375" style="91" customWidth="1"/>
    <col min="3597" max="3597" width="10.42578125" style="91" customWidth="1"/>
    <col min="3598" max="3598" width="9.5703125" style="91" customWidth="1"/>
    <col min="3599" max="3599" width="9.85546875" style="91" customWidth="1"/>
    <col min="3600" max="3600" width="8" style="91" customWidth="1"/>
    <col min="3601" max="3601" width="8.140625" style="91" customWidth="1"/>
    <col min="3602" max="3602" width="8.28515625" style="91" customWidth="1"/>
    <col min="3603" max="3603" width="9.42578125" style="91" customWidth="1"/>
    <col min="3604" max="3604" width="11.85546875" style="91" customWidth="1"/>
    <col min="3605" max="3840" width="9.140625" style="91"/>
    <col min="3841" max="3841" width="3.28515625" style="91" customWidth="1"/>
    <col min="3842" max="3842" width="0.140625" style="91" customWidth="1"/>
    <col min="3843" max="3843" width="7.42578125" style="91" customWidth="1"/>
    <col min="3844" max="3844" width="1.28515625" style="91" customWidth="1"/>
    <col min="3845" max="3845" width="6.5703125" style="91" customWidth="1"/>
    <col min="3846" max="3846" width="17" style="91" customWidth="1"/>
    <col min="3847" max="3847" width="7.7109375" style="91" customWidth="1"/>
    <col min="3848" max="3848" width="11.85546875" style="91" customWidth="1"/>
    <col min="3849" max="3849" width="8.28515625" style="91" customWidth="1"/>
    <col min="3850" max="3850" width="8.85546875" style="91" customWidth="1"/>
    <col min="3851" max="3851" width="8.42578125" style="91" customWidth="1"/>
    <col min="3852" max="3852" width="9.7109375" style="91" customWidth="1"/>
    <col min="3853" max="3853" width="10.42578125" style="91" customWidth="1"/>
    <col min="3854" max="3854" width="9.5703125" style="91" customWidth="1"/>
    <col min="3855" max="3855" width="9.85546875" style="91" customWidth="1"/>
    <col min="3856" max="3856" width="8" style="91" customWidth="1"/>
    <col min="3857" max="3857" width="8.140625" style="91" customWidth="1"/>
    <col min="3858" max="3858" width="8.28515625" style="91" customWidth="1"/>
    <col min="3859" max="3859" width="9.42578125" style="91" customWidth="1"/>
    <col min="3860" max="3860" width="11.85546875" style="91" customWidth="1"/>
    <col min="3861" max="4096" width="9.140625" style="91"/>
    <col min="4097" max="4097" width="3.28515625" style="91" customWidth="1"/>
    <col min="4098" max="4098" width="0.140625" style="91" customWidth="1"/>
    <col min="4099" max="4099" width="7.42578125" style="91" customWidth="1"/>
    <col min="4100" max="4100" width="1.28515625" style="91" customWidth="1"/>
    <col min="4101" max="4101" width="6.5703125" style="91" customWidth="1"/>
    <col min="4102" max="4102" width="17" style="91" customWidth="1"/>
    <col min="4103" max="4103" width="7.7109375" style="91" customWidth="1"/>
    <col min="4104" max="4104" width="11.85546875" style="91" customWidth="1"/>
    <col min="4105" max="4105" width="8.28515625" style="91" customWidth="1"/>
    <col min="4106" max="4106" width="8.85546875" style="91" customWidth="1"/>
    <col min="4107" max="4107" width="8.42578125" style="91" customWidth="1"/>
    <col min="4108" max="4108" width="9.7109375" style="91" customWidth="1"/>
    <col min="4109" max="4109" width="10.42578125" style="91" customWidth="1"/>
    <col min="4110" max="4110" width="9.5703125" style="91" customWidth="1"/>
    <col min="4111" max="4111" width="9.85546875" style="91" customWidth="1"/>
    <col min="4112" max="4112" width="8" style="91" customWidth="1"/>
    <col min="4113" max="4113" width="8.140625" style="91" customWidth="1"/>
    <col min="4114" max="4114" width="8.28515625" style="91" customWidth="1"/>
    <col min="4115" max="4115" width="9.42578125" style="91" customWidth="1"/>
    <col min="4116" max="4116" width="11.85546875" style="91" customWidth="1"/>
    <col min="4117" max="4352" width="9.140625" style="91"/>
    <col min="4353" max="4353" width="3.28515625" style="91" customWidth="1"/>
    <col min="4354" max="4354" width="0.140625" style="91" customWidth="1"/>
    <col min="4355" max="4355" width="7.42578125" style="91" customWidth="1"/>
    <col min="4356" max="4356" width="1.28515625" style="91" customWidth="1"/>
    <col min="4357" max="4357" width="6.5703125" style="91" customWidth="1"/>
    <col min="4358" max="4358" width="17" style="91" customWidth="1"/>
    <col min="4359" max="4359" width="7.7109375" style="91" customWidth="1"/>
    <col min="4360" max="4360" width="11.85546875" style="91" customWidth="1"/>
    <col min="4361" max="4361" width="8.28515625" style="91" customWidth="1"/>
    <col min="4362" max="4362" width="8.85546875" style="91" customWidth="1"/>
    <col min="4363" max="4363" width="8.42578125" style="91" customWidth="1"/>
    <col min="4364" max="4364" width="9.7109375" style="91" customWidth="1"/>
    <col min="4365" max="4365" width="10.42578125" style="91" customWidth="1"/>
    <col min="4366" max="4366" width="9.5703125" style="91" customWidth="1"/>
    <col min="4367" max="4367" width="9.85546875" style="91" customWidth="1"/>
    <col min="4368" max="4368" width="8" style="91" customWidth="1"/>
    <col min="4369" max="4369" width="8.140625" style="91" customWidth="1"/>
    <col min="4370" max="4370" width="8.28515625" style="91" customWidth="1"/>
    <col min="4371" max="4371" width="9.42578125" style="91" customWidth="1"/>
    <col min="4372" max="4372" width="11.85546875" style="91" customWidth="1"/>
    <col min="4373" max="4608" width="9.140625" style="91"/>
    <col min="4609" max="4609" width="3.28515625" style="91" customWidth="1"/>
    <col min="4610" max="4610" width="0.140625" style="91" customWidth="1"/>
    <col min="4611" max="4611" width="7.42578125" style="91" customWidth="1"/>
    <col min="4612" max="4612" width="1.28515625" style="91" customWidth="1"/>
    <col min="4613" max="4613" width="6.5703125" style="91" customWidth="1"/>
    <col min="4614" max="4614" width="17" style="91" customWidth="1"/>
    <col min="4615" max="4615" width="7.7109375" style="91" customWidth="1"/>
    <col min="4616" max="4616" width="11.85546875" style="91" customWidth="1"/>
    <col min="4617" max="4617" width="8.28515625" style="91" customWidth="1"/>
    <col min="4618" max="4618" width="8.85546875" style="91" customWidth="1"/>
    <col min="4619" max="4619" width="8.42578125" style="91" customWidth="1"/>
    <col min="4620" max="4620" width="9.7109375" style="91" customWidth="1"/>
    <col min="4621" max="4621" width="10.42578125" style="91" customWidth="1"/>
    <col min="4622" max="4622" width="9.5703125" style="91" customWidth="1"/>
    <col min="4623" max="4623" width="9.85546875" style="91" customWidth="1"/>
    <col min="4624" max="4624" width="8" style="91" customWidth="1"/>
    <col min="4625" max="4625" width="8.140625" style="91" customWidth="1"/>
    <col min="4626" max="4626" width="8.28515625" style="91" customWidth="1"/>
    <col min="4627" max="4627" width="9.42578125" style="91" customWidth="1"/>
    <col min="4628" max="4628" width="11.85546875" style="91" customWidth="1"/>
    <col min="4629" max="4864" width="9.140625" style="91"/>
    <col min="4865" max="4865" width="3.28515625" style="91" customWidth="1"/>
    <col min="4866" max="4866" width="0.140625" style="91" customWidth="1"/>
    <col min="4867" max="4867" width="7.42578125" style="91" customWidth="1"/>
    <col min="4868" max="4868" width="1.28515625" style="91" customWidth="1"/>
    <col min="4869" max="4869" width="6.5703125" style="91" customWidth="1"/>
    <col min="4870" max="4870" width="17" style="91" customWidth="1"/>
    <col min="4871" max="4871" width="7.7109375" style="91" customWidth="1"/>
    <col min="4872" max="4872" width="11.85546875" style="91" customWidth="1"/>
    <col min="4873" max="4873" width="8.28515625" style="91" customWidth="1"/>
    <col min="4874" max="4874" width="8.85546875" style="91" customWidth="1"/>
    <col min="4875" max="4875" width="8.42578125" style="91" customWidth="1"/>
    <col min="4876" max="4876" width="9.7109375" style="91" customWidth="1"/>
    <col min="4877" max="4877" width="10.42578125" style="91" customWidth="1"/>
    <col min="4878" max="4878" width="9.5703125" style="91" customWidth="1"/>
    <col min="4879" max="4879" width="9.85546875" style="91" customWidth="1"/>
    <col min="4880" max="4880" width="8" style="91" customWidth="1"/>
    <col min="4881" max="4881" width="8.140625" style="91" customWidth="1"/>
    <col min="4882" max="4882" width="8.28515625" style="91" customWidth="1"/>
    <col min="4883" max="4883" width="9.42578125" style="91" customWidth="1"/>
    <col min="4884" max="4884" width="11.85546875" style="91" customWidth="1"/>
    <col min="4885" max="5120" width="9.140625" style="91"/>
    <col min="5121" max="5121" width="3.28515625" style="91" customWidth="1"/>
    <col min="5122" max="5122" width="0.140625" style="91" customWidth="1"/>
    <col min="5123" max="5123" width="7.42578125" style="91" customWidth="1"/>
    <col min="5124" max="5124" width="1.28515625" style="91" customWidth="1"/>
    <col min="5125" max="5125" width="6.5703125" style="91" customWidth="1"/>
    <col min="5126" max="5126" width="17" style="91" customWidth="1"/>
    <col min="5127" max="5127" width="7.7109375" style="91" customWidth="1"/>
    <col min="5128" max="5128" width="11.85546875" style="91" customWidth="1"/>
    <col min="5129" max="5129" width="8.28515625" style="91" customWidth="1"/>
    <col min="5130" max="5130" width="8.85546875" style="91" customWidth="1"/>
    <col min="5131" max="5131" width="8.42578125" style="91" customWidth="1"/>
    <col min="5132" max="5132" width="9.7109375" style="91" customWidth="1"/>
    <col min="5133" max="5133" width="10.42578125" style="91" customWidth="1"/>
    <col min="5134" max="5134" width="9.5703125" style="91" customWidth="1"/>
    <col min="5135" max="5135" width="9.85546875" style="91" customWidth="1"/>
    <col min="5136" max="5136" width="8" style="91" customWidth="1"/>
    <col min="5137" max="5137" width="8.140625" style="91" customWidth="1"/>
    <col min="5138" max="5138" width="8.28515625" style="91" customWidth="1"/>
    <col min="5139" max="5139" width="9.42578125" style="91" customWidth="1"/>
    <col min="5140" max="5140" width="11.85546875" style="91" customWidth="1"/>
    <col min="5141" max="5376" width="9.140625" style="91"/>
    <col min="5377" max="5377" width="3.28515625" style="91" customWidth="1"/>
    <col min="5378" max="5378" width="0.140625" style="91" customWidth="1"/>
    <col min="5379" max="5379" width="7.42578125" style="91" customWidth="1"/>
    <col min="5380" max="5380" width="1.28515625" style="91" customWidth="1"/>
    <col min="5381" max="5381" width="6.5703125" style="91" customWidth="1"/>
    <col min="5382" max="5382" width="17" style="91" customWidth="1"/>
    <col min="5383" max="5383" width="7.7109375" style="91" customWidth="1"/>
    <col min="5384" max="5384" width="11.85546875" style="91" customWidth="1"/>
    <col min="5385" max="5385" width="8.28515625" style="91" customWidth="1"/>
    <col min="5386" max="5386" width="8.85546875" style="91" customWidth="1"/>
    <col min="5387" max="5387" width="8.42578125" style="91" customWidth="1"/>
    <col min="5388" max="5388" width="9.7109375" style="91" customWidth="1"/>
    <col min="5389" max="5389" width="10.42578125" style="91" customWidth="1"/>
    <col min="5390" max="5390" width="9.5703125" style="91" customWidth="1"/>
    <col min="5391" max="5391" width="9.85546875" style="91" customWidth="1"/>
    <col min="5392" max="5392" width="8" style="91" customWidth="1"/>
    <col min="5393" max="5393" width="8.140625" style="91" customWidth="1"/>
    <col min="5394" max="5394" width="8.28515625" style="91" customWidth="1"/>
    <col min="5395" max="5395" width="9.42578125" style="91" customWidth="1"/>
    <col min="5396" max="5396" width="11.85546875" style="91" customWidth="1"/>
    <col min="5397" max="5632" width="9.140625" style="91"/>
    <col min="5633" max="5633" width="3.28515625" style="91" customWidth="1"/>
    <col min="5634" max="5634" width="0.140625" style="91" customWidth="1"/>
    <col min="5635" max="5635" width="7.42578125" style="91" customWidth="1"/>
    <col min="5636" max="5636" width="1.28515625" style="91" customWidth="1"/>
    <col min="5637" max="5637" width="6.5703125" style="91" customWidth="1"/>
    <col min="5638" max="5638" width="17" style="91" customWidth="1"/>
    <col min="5639" max="5639" width="7.7109375" style="91" customWidth="1"/>
    <col min="5640" max="5640" width="11.85546875" style="91" customWidth="1"/>
    <col min="5641" max="5641" width="8.28515625" style="91" customWidth="1"/>
    <col min="5642" max="5642" width="8.85546875" style="91" customWidth="1"/>
    <col min="5643" max="5643" width="8.42578125" style="91" customWidth="1"/>
    <col min="5644" max="5644" width="9.7109375" style="91" customWidth="1"/>
    <col min="5645" max="5645" width="10.42578125" style="91" customWidth="1"/>
    <col min="5646" max="5646" width="9.5703125" style="91" customWidth="1"/>
    <col min="5647" max="5647" width="9.85546875" style="91" customWidth="1"/>
    <col min="5648" max="5648" width="8" style="91" customWidth="1"/>
    <col min="5649" max="5649" width="8.140625" style="91" customWidth="1"/>
    <col min="5650" max="5650" width="8.28515625" style="91" customWidth="1"/>
    <col min="5651" max="5651" width="9.42578125" style="91" customWidth="1"/>
    <col min="5652" max="5652" width="11.85546875" style="91" customWidth="1"/>
    <col min="5653" max="5888" width="9.140625" style="91"/>
    <col min="5889" max="5889" width="3.28515625" style="91" customWidth="1"/>
    <col min="5890" max="5890" width="0.140625" style="91" customWidth="1"/>
    <col min="5891" max="5891" width="7.42578125" style="91" customWidth="1"/>
    <col min="5892" max="5892" width="1.28515625" style="91" customWidth="1"/>
    <col min="5893" max="5893" width="6.5703125" style="91" customWidth="1"/>
    <col min="5894" max="5894" width="17" style="91" customWidth="1"/>
    <col min="5895" max="5895" width="7.7109375" style="91" customWidth="1"/>
    <col min="5896" max="5896" width="11.85546875" style="91" customWidth="1"/>
    <col min="5897" max="5897" width="8.28515625" style="91" customWidth="1"/>
    <col min="5898" max="5898" width="8.85546875" style="91" customWidth="1"/>
    <col min="5899" max="5899" width="8.42578125" style="91" customWidth="1"/>
    <col min="5900" max="5900" width="9.7109375" style="91" customWidth="1"/>
    <col min="5901" max="5901" width="10.42578125" style="91" customWidth="1"/>
    <col min="5902" max="5902" width="9.5703125" style="91" customWidth="1"/>
    <col min="5903" max="5903" width="9.85546875" style="91" customWidth="1"/>
    <col min="5904" max="5904" width="8" style="91" customWidth="1"/>
    <col min="5905" max="5905" width="8.140625" style="91" customWidth="1"/>
    <col min="5906" max="5906" width="8.28515625" style="91" customWidth="1"/>
    <col min="5907" max="5907" width="9.42578125" style="91" customWidth="1"/>
    <col min="5908" max="5908" width="11.85546875" style="91" customWidth="1"/>
    <col min="5909" max="6144" width="9.140625" style="91"/>
    <col min="6145" max="6145" width="3.28515625" style="91" customWidth="1"/>
    <col min="6146" max="6146" width="0.140625" style="91" customWidth="1"/>
    <col min="6147" max="6147" width="7.42578125" style="91" customWidth="1"/>
    <col min="6148" max="6148" width="1.28515625" style="91" customWidth="1"/>
    <col min="6149" max="6149" width="6.5703125" style="91" customWidth="1"/>
    <col min="6150" max="6150" width="17" style="91" customWidth="1"/>
    <col min="6151" max="6151" width="7.7109375" style="91" customWidth="1"/>
    <col min="6152" max="6152" width="11.85546875" style="91" customWidth="1"/>
    <col min="6153" max="6153" width="8.28515625" style="91" customWidth="1"/>
    <col min="6154" max="6154" width="8.85546875" style="91" customWidth="1"/>
    <col min="6155" max="6155" width="8.42578125" style="91" customWidth="1"/>
    <col min="6156" max="6156" width="9.7109375" style="91" customWidth="1"/>
    <col min="6157" max="6157" width="10.42578125" style="91" customWidth="1"/>
    <col min="6158" max="6158" width="9.5703125" style="91" customWidth="1"/>
    <col min="6159" max="6159" width="9.85546875" style="91" customWidth="1"/>
    <col min="6160" max="6160" width="8" style="91" customWidth="1"/>
    <col min="6161" max="6161" width="8.140625" style="91" customWidth="1"/>
    <col min="6162" max="6162" width="8.28515625" style="91" customWidth="1"/>
    <col min="6163" max="6163" width="9.42578125" style="91" customWidth="1"/>
    <col min="6164" max="6164" width="11.85546875" style="91" customWidth="1"/>
    <col min="6165" max="6400" width="9.140625" style="91"/>
    <col min="6401" max="6401" width="3.28515625" style="91" customWidth="1"/>
    <col min="6402" max="6402" width="0.140625" style="91" customWidth="1"/>
    <col min="6403" max="6403" width="7.42578125" style="91" customWidth="1"/>
    <col min="6404" max="6404" width="1.28515625" style="91" customWidth="1"/>
    <col min="6405" max="6405" width="6.5703125" style="91" customWidth="1"/>
    <col min="6406" max="6406" width="17" style="91" customWidth="1"/>
    <col min="6407" max="6407" width="7.7109375" style="91" customWidth="1"/>
    <col min="6408" max="6408" width="11.85546875" style="91" customWidth="1"/>
    <col min="6409" max="6409" width="8.28515625" style="91" customWidth="1"/>
    <col min="6410" max="6410" width="8.85546875" style="91" customWidth="1"/>
    <col min="6411" max="6411" width="8.42578125" style="91" customWidth="1"/>
    <col min="6412" max="6412" width="9.7109375" style="91" customWidth="1"/>
    <col min="6413" max="6413" width="10.42578125" style="91" customWidth="1"/>
    <col min="6414" max="6414" width="9.5703125" style="91" customWidth="1"/>
    <col min="6415" max="6415" width="9.85546875" style="91" customWidth="1"/>
    <col min="6416" max="6416" width="8" style="91" customWidth="1"/>
    <col min="6417" max="6417" width="8.140625" style="91" customWidth="1"/>
    <col min="6418" max="6418" width="8.28515625" style="91" customWidth="1"/>
    <col min="6419" max="6419" width="9.42578125" style="91" customWidth="1"/>
    <col min="6420" max="6420" width="11.85546875" style="91" customWidth="1"/>
    <col min="6421" max="6656" width="9.140625" style="91"/>
    <col min="6657" max="6657" width="3.28515625" style="91" customWidth="1"/>
    <col min="6658" max="6658" width="0.140625" style="91" customWidth="1"/>
    <col min="6659" max="6659" width="7.42578125" style="91" customWidth="1"/>
    <col min="6660" max="6660" width="1.28515625" style="91" customWidth="1"/>
    <col min="6661" max="6661" width="6.5703125" style="91" customWidth="1"/>
    <col min="6662" max="6662" width="17" style="91" customWidth="1"/>
    <col min="6663" max="6663" width="7.7109375" style="91" customWidth="1"/>
    <col min="6664" max="6664" width="11.85546875" style="91" customWidth="1"/>
    <col min="6665" max="6665" width="8.28515625" style="91" customWidth="1"/>
    <col min="6666" max="6666" width="8.85546875" style="91" customWidth="1"/>
    <col min="6667" max="6667" width="8.42578125" style="91" customWidth="1"/>
    <col min="6668" max="6668" width="9.7109375" style="91" customWidth="1"/>
    <col min="6669" max="6669" width="10.42578125" style="91" customWidth="1"/>
    <col min="6670" max="6670" width="9.5703125" style="91" customWidth="1"/>
    <col min="6671" max="6671" width="9.85546875" style="91" customWidth="1"/>
    <col min="6672" max="6672" width="8" style="91" customWidth="1"/>
    <col min="6673" max="6673" width="8.140625" style="91" customWidth="1"/>
    <col min="6674" max="6674" width="8.28515625" style="91" customWidth="1"/>
    <col min="6675" max="6675" width="9.42578125" style="91" customWidth="1"/>
    <col min="6676" max="6676" width="11.85546875" style="91" customWidth="1"/>
    <col min="6677" max="6912" width="9.140625" style="91"/>
    <col min="6913" max="6913" width="3.28515625" style="91" customWidth="1"/>
    <col min="6914" max="6914" width="0.140625" style="91" customWidth="1"/>
    <col min="6915" max="6915" width="7.42578125" style="91" customWidth="1"/>
    <col min="6916" max="6916" width="1.28515625" style="91" customWidth="1"/>
    <col min="6917" max="6917" width="6.5703125" style="91" customWidth="1"/>
    <col min="6918" max="6918" width="17" style="91" customWidth="1"/>
    <col min="6919" max="6919" width="7.7109375" style="91" customWidth="1"/>
    <col min="6920" max="6920" width="11.85546875" style="91" customWidth="1"/>
    <col min="6921" max="6921" width="8.28515625" style="91" customWidth="1"/>
    <col min="6922" max="6922" width="8.85546875" style="91" customWidth="1"/>
    <col min="6923" max="6923" width="8.42578125" style="91" customWidth="1"/>
    <col min="6924" max="6924" width="9.7109375" style="91" customWidth="1"/>
    <col min="6925" max="6925" width="10.42578125" style="91" customWidth="1"/>
    <col min="6926" max="6926" width="9.5703125" style="91" customWidth="1"/>
    <col min="6927" max="6927" width="9.85546875" style="91" customWidth="1"/>
    <col min="6928" max="6928" width="8" style="91" customWidth="1"/>
    <col min="6929" max="6929" width="8.140625" style="91" customWidth="1"/>
    <col min="6930" max="6930" width="8.28515625" style="91" customWidth="1"/>
    <col min="6931" max="6931" width="9.42578125" style="91" customWidth="1"/>
    <col min="6932" max="6932" width="11.85546875" style="91" customWidth="1"/>
    <col min="6933" max="7168" width="9.140625" style="91"/>
    <col min="7169" max="7169" width="3.28515625" style="91" customWidth="1"/>
    <col min="7170" max="7170" width="0.140625" style="91" customWidth="1"/>
    <col min="7171" max="7171" width="7.42578125" style="91" customWidth="1"/>
    <col min="7172" max="7172" width="1.28515625" style="91" customWidth="1"/>
    <col min="7173" max="7173" width="6.5703125" style="91" customWidth="1"/>
    <col min="7174" max="7174" width="17" style="91" customWidth="1"/>
    <col min="7175" max="7175" width="7.7109375" style="91" customWidth="1"/>
    <col min="7176" max="7176" width="11.85546875" style="91" customWidth="1"/>
    <col min="7177" max="7177" width="8.28515625" style="91" customWidth="1"/>
    <col min="7178" max="7178" width="8.85546875" style="91" customWidth="1"/>
    <col min="7179" max="7179" width="8.42578125" style="91" customWidth="1"/>
    <col min="7180" max="7180" width="9.7109375" style="91" customWidth="1"/>
    <col min="7181" max="7181" width="10.42578125" style="91" customWidth="1"/>
    <col min="7182" max="7182" width="9.5703125" style="91" customWidth="1"/>
    <col min="7183" max="7183" width="9.85546875" style="91" customWidth="1"/>
    <col min="7184" max="7184" width="8" style="91" customWidth="1"/>
    <col min="7185" max="7185" width="8.140625" style="91" customWidth="1"/>
    <col min="7186" max="7186" width="8.28515625" style="91" customWidth="1"/>
    <col min="7187" max="7187" width="9.42578125" style="91" customWidth="1"/>
    <col min="7188" max="7188" width="11.85546875" style="91" customWidth="1"/>
    <col min="7189" max="7424" width="9.140625" style="91"/>
    <col min="7425" max="7425" width="3.28515625" style="91" customWidth="1"/>
    <col min="7426" max="7426" width="0.140625" style="91" customWidth="1"/>
    <col min="7427" max="7427" width="7.42578125" style="91" customWidth="1"/>
    <col min="7428" max="7428" width="1.28515625" style="91" customWidth="1"/>
    <col min="7429" max="7429" width="6.5703125" style="91" customWidth="1"/>
    <col min="7430" max="7430" width="17" style="91" customWidth="1"/>
    <col min="7431" max="7431" width="7.7109375" style="91" customWidth="1"/>
    <col min="7432" max="7432" width="11.85546875" style="91" customWidth="1"/>
    <col min="7433" max="7433" width="8.28515625" style="91" customWidth="1"/>
    <col min="7434" max="7434" width="8.85546875" style="91" customWidth="1"/>
    <col min="7435" max="7435" width="8.42578125" style="91" customWidth="1"/>
    <col min="7436" max="7436" width="9.7109375" style="91" customWidth="1"/>
    <col min="7437" max="7437" width="10.42578125" style="91" customWidth="1"/>
    <col min="7438" max="7438" width="9.5703125" style="91" customWidth="1"/>
    <col min="7439" max="7439" width="9.85546875" style="91" customWidth="1"/>
    <col min="7440" max="7440" width="8" style="91" customWidth="1"/>
    <col min="7441" max="7441" width="8.140625" style="91" customWidth="1"/>
    <col min="7442" max="7442" width="8.28515625" style="91" customWidth="1"/>
    <col min="7443" max="7443" width="9.42578125" style="91" customWidth="1"/>
    <col min="7444" max="7444" width="11.85546875" style="91" customWidth="1"/>
    <col min="7445" max="7680" width="9.140625" style="91"/>
    <col min="7681" max="7681" width="3.28515625" style="91" customWidth="1"/>
    <col min="7682" max="7682" width="0.140625" style="91" customWidth="1"/>
    <col min="7683" max="7683" width="7.42578125" style="91" customWidth="1"/>
    <col min="7684" max="7684" width="1.28515625" style="91" customWidth="1"/>
    <col min="7685" max="7685" width="6.5703125" style="91" customWidth="1"/>
    <col min="7686" max="7686" width="17" style="91" customWidth="1"/>
    <col min="7687" max="7687" width="7.7109375" style="91" customWidth="1"/>
    <col min="7688" max="7688" width="11.85546875" style="91" customWidth="1"/>
    <col min="7689" max="7689" width="8.28515625" style="91" customWidth="1"/>
    <col min="7690" max="7690" width="8.85546875" style="91" customWidth="1"/>
    <col min="7691" max="7691" width="8.42578125" style="91" customWidth="1"/>
    <col min="7692" max="7692" width="9.7109375" style="91" customWidth="1"/>
    <col min="7693" max="7693" width="10.42578125" style="91" customWidth="1"/>
    <col min="7694" max="7694" width="9.5703125" style="91" customWidth="1"/>
    <col min="7695" max="7695" width="9.85546875" style="91" customWidth="1"/>
    <col min="7696" max="7696" width="8" style="91" customWidth="1"/>
    <col min="7697" max="7697" width="8.140625" style="91" customWidth="1"/>
    <col min="7698" max="7698" width="8.28515625" style="91" customWidth="1"/>
    <col min="7699" max="7699" width="9.42578125" style="91" customWidth="1"/>
    <col min="7700" max="7700" width="11.85546875" style="91" customWidth="1"/>
    <col min="7701" max="7936" width="9.140625" style="91"/>
    <col min="7937" max="7937" width="3.28515625" style="91" customWidth="1"/>
    <col min="7938" max="7938" width="0.140625" style="91" customWidth="1"/>
    <col min="7939" max="7939" width="7.42578125" style="91" customWidth="1"/>
    <col min="7940" max="7940" width="1.28515625" style="91" customWidth="1"/>
    <col min="7941" max="7941" width="6.5703125" style="91" customWidth="1"/>
    <col min="7942" max="7942" width="17" style="91" customWidth="1"/>
    <col min="7943" max="7943" width="7.7109375" style="91" customWidth="1"/>
    <col min="7944" max="7944" width="11.85546875" style="91" customWidth="1"/>
    <col min="7945" max="7945" width="8.28515625" style="91" customWidth="1"/>
    <col min="7946" max="7946" width="8.85546875" style="91" customWidth="1"/>
    <col min="7947" max="7947" width="8.42578125" style="91" customWidth="1"/>
    <col min="7948" max="7948" width="9.7109375" style="91" customWidth="1"/>
    <col min="7949" max="7949" width="10.42578125" style="91" customWidth="1"/>
    <col min="7950" max="7950" width="9.5703125" style="91" customWidth="1"/>
    <col min="7951" max="7951" width="9.85546875" style="91" customWidth="1"/>
    <col min="7952" max="7952" width="8" style="91" customWidth="1"/>
    <col min="7953" max="7953" width="8.140625" style="91" customWidth="1"/>
    <col min="7954" max="7954" width="8.28515625" style="91" customWidth="1"/>
    <col min="7955" max="7955" width="9.42578125" style="91" customWidth="1"/>
    <col min="7956" max="7956" width="11.85546875" style="91" customWidth="1"/>
    <col min="7957" max="8192" width="9.140625" style="91"/>
    <col min="8193" max="8193" width="3.28515625" style="91" customWidth="1"/>
    <col min="8194" max="8194" width="0.140625" style="91" customWidth="1"/>
    <col min="8195" max="8195" width="7.42578125" style="91" customWidth="1"/>
    <col min="8196" max="8196" width="1.28515625" style="91" customWidth="1"/>
    <col min="8197" max="8197" width="6.5703125" style="91" customWidth="1"/>
    <col min="8198" max="8198" width="17" style="91" customWidth="1"/>
    <col min="8199" max="8199" width="7.7109375" style="91" customWidth="1"/>
    <col min="8200" max="8200" width="11.85546875" style="91" customWidth="1"/>
    <col min="8201" max="8201" width="8.28515625" style="91" customWidth="1"/>
    <col min="8202" max="8202" width="8.85546875" style="91" customWidth="1"/>
    <col min="8203" max="8203" width="8.42578125" style="91" customWidth="1"/>
    <col min="8204" max="8204" width="9.7109375" style="91" customWidth="1"/>
    <col min="8205" max="8205" width="10.42578125" style="91" customWidth="1"/>
    <col min="8206" max="8206" width="9.5703125" style="91" customWidth="1"/>
    <col min="8207" max="8207" width="9.85546875" style="91" customWidth="1"/>
    <col min="8208" max="8208" width="8" style="91" customWidth="1"/>
    <col min="8209" max="8209" width="8.140625" style="91" customWidth="1"/>
    <col min="8210" max="8210" width="8.28515625" style="91" customWidth="1"/>
    <col min="8211" max="8211" width="9.42578125" style="91" customWidth="1"/>
    <col min="8212" max="8212" width="11.85546875" style="91" customWidth="1"/>
    <col min="8213" max="8448" width="9.140625" style="91"/>
    <col min="8449" max="8449" width="3.28515625" style="91" customWidth="1"/>
    <col min="8450" max="8450" width="0.140625" style="91" customWidth="1"/>
    <col min="8451" max="8451" width="7.42578125" style="91" customWidth="1"/>
    <col min="8452" max="8452" width="1.28515625" style="91" customWidth="1"/>
    <col min="8453" max="8453" width="6.5703125" style="91" customWidth="1"/>
    <col min="8454" max="8454" width="17" style="91" customWidth="1"/>
    <col min="8455" max="8455" width="7.7109375" style="91" customWidth="1"/>
    <col min="8456" max="8456" width="11.85546875" style="91" customWidth="1"/>
    <col min="8457" max="8457" width="8.28515625" style="91" customWidth="1"/>
    <col min="8458" max="8458" width="8.85546875" style="91" customWidth="1"/>
    <col min="8459" max="8459" width="8.42578125" style="91" customWidth="1"/>
    <col min="8460" max="8460" width="9.7109375" style="91" customWidth="1"/>
    <col min="8461" max="8461" width="10.42578125" style="91" customWidth="1"/>
    <col min="8462" max="8462" width="9.5703125" style="91" customWidth="1"/>
    <col min="8463" max="8463" width="9.85546875" style="91" customWidth="1"/>
    <col min="8464" max="8464" width="8" style="91" customWidth="1"/>
    <col min="8465" max="8465" width="8.140625" style="91" customWidth="1"/>
    <col min="8466" max="8466" width="8.28515625" style="91" customWidth="1"/>
    <col min="8467" max="8467" width="9.42578125" style="91" customWidth="1"/>
    <col min="8468" max="8468" width="11.85546875" style="91" customWidth="1"/>
    <col min="8469" max="8704" width="9.140625" style="91"/>
    <col min="8705" max="8705" width="3.28515625" style="91" customWidth="1"/>
    <col min="8706" max="8706" width="0.140625" style="91" customWidth="1"/>
    <col min="8707" max="8707" width="7.42578125" style="91" customWidth="1"/>
    <col min="8708" max="8708" width="1.28515625" style="91" customWidth="1"/>
    <col min="8709" max="8709" width="6.5703125" style="91" customWidth="1"/>
    <col min="8710" max="8710" width="17" style="91" customWidth="1"/>
    <col min="8711" max="8711" width="7.7109375" style="91" customWidth="1"/>
    <col min="8712" max="8712" width="11.85546875" style="91" customWidth="1"/>
    <col min="8713" max="8713" width="8.28515625" style="91" customWidth="1"/>
    <col min="8714" max="8714" width="8.85546875" style="91" customWidth="1"/>
    <col min="8715" max="8715" width="8.42578125" style="91" customWidth="1"/>
    <col min="8716" max="8716" width="9.7109375" style="91" customWidth="1"/>
    <col min="8717" max="8717" width="10.42578125" style="91" customWidth="1"/>
    <col min="8718" max="8718" width="9.5703125" style="91" customWidth="1"/>
    <col min="8719" max="8719" width="9.85546875" style="91" customWidth="1"/>
    <col min="8720" max="8720" width="8" style="91" customWidth="1"/>
    <col min="8721" max="8721" width="8.140625" style="91" customWidth="1"/>
    <col min="8722" max="8722" width="8.28515625" style="91" customWidth="1"/>
    <col min="8723" max="8723" width="9.42578125" style="91" customWidth="1"/>
    <col min="8724" max="8724" width="11.85546875" style="91" customWidth="1"/>
    <col min="8725" max="8960" width="9.140625" style="91"/>
    <col min="8961" max="8961" width="3.28515625" style="91" customWidth="1"/>
    <col min="8962" max="8962" width="0.140625" style="91" customWidth="1"/>
    <col min="8963" max="8963" width="7.42578125" style="91" customWidth="1"/>
    <col min="8964" max="8964" width="1.28515625" style="91" customWidth="1"/>
    <col min="8965" max="8965" width="6.5703125" style="91" customWidth="1"/>
    <col min="8966" max="8966" width="17" style="91" customWidth="1"/>
    <col min="8967" max="8967" width="7.7109375" style="91" customWidth="1"/>
    <col min="8968" max="8968" width="11.85546875" style="91" customWidth="1"/>
    <col min="8969" max="8969" width="8.28515625" style="91" customWidth="1"/>
    <col min="8970" max="8970" width="8.85546875" style="91" customWidth="1"/>
    <col min="8971" max="8971" width="8.42578125" style="91" customWidth="1"/>
    <col min="8972" max="8972" width="9.7109375" style="91" customWidth="1"/>
    <col min="8973" max="8973" width="10.42578125" style="91" customWidth="1"/>
    <col min="8974" max="8974" width="9.5703125" style="91" customWidth="1"/>
    <col min="8975" max="8975" width="9.85546875" style="91" customWidth="1"/>
    <col min="8976" max="8976" width="8" style="91" customWidth="1"/>
    <col min="8977" max="8977" width="8.140625" style="91" customWidth="1"/>
    <col min="8978" max="8978" width="8.28515625" style="91" customWidth="1"/>
    <col min="8979" max="8979" width="9.42578125" style="91" customWidth="1"/>
    <col min="8980" max="8980" width="11.85546875" style="91" customWidth="1"/>
    <col min="8981" max="9216" width="9.140625" style="91"/>
    <col min="9217" max="9217" width="3.28515625" style="91" customWidth="1"/>
    <col min="9218" max="9218" width="0.140625" style="91" customWidth="1"/>
    <col min="9219" max="9219" width="7.42578125" style="91" customWidth="1"/>
    <col min="9220" max="9220" width="1.28515625" style="91" customWidth="1"/>
    <col min="9221" max="9221" width="6.5703125" style="91" customWidth="1"/>
    <col min="9222" max="9222" width="17" style="91" customWidth="1"/>
    <col min="9223" max="9223" width="7.7109375" style="91" customWidth="1"/>
    <col min="9224" max="9224" width="11.85546875" style="91" customWidth="1"/>
    <col min="9225" max="9225" width="8.28515625" style="91" customWidth="1"/>
    <col min="9226" max="9226" width="8.85546875" style="91" customWidth="1"/>
    <col min="9227" max="9227" width="8.42578125" style="91" customWidth="1"/>
    <col min="9228" max="9228" width="9.7109375" style="91" customWidth="1"/>
    <col min="9229" max="9229" width="10.42578125" style="91" customWidth="1"/>
    <col min="9230" max="9230" width="9.5703125" style="91" customWidth="1"/>
    <col min="9231" max="9231" width="9.85546875" style="91" customWidth="1"/>
    <col min="9232" max="9232" width="8" style="91" customWidth="1"/>
    <col min="9233" max="9233" width="8.140625" style="91" customWidth="1"/>
    <col min="9234" max="9234" width="8.28515625" style="91" customWidth="1"/>
    <col min="9235" max="9235" width="9.42578125" style="91" customWidth="1"/>
    <col min="9236" max="9236" width="11.85546875" style="91" customWidth="1"/>
    <col min="9237" max="9472" width="9.140625" style="91"/>
    <col min="9473" max="9473" width="3.28515625" style="91" customWidth="1"/>
    <col min="9474" max="9474" width="0.140625" style="91" customWidth="1"/>
    <col min="9475" max="9475" width="7.42578125" style="91" customWidth="1"/>
    <col min="9476" max="9476" width="1.28515625" style="91" customWidth="1"/>
    <col min="9477" max="9477" width="6.5703125" style="91" customWidth="1"/>
    <col min="9478" max="9478" width="17" style="91" customWidth="1"/>
    <col min="9479" max="9479" width="7.7109375" style="91" customWidth="1"/>
    <col min="9480" max="9480" width="11.85546875" style="91" customWidth="1"/>
    <col min="9481" max="9481" width="8.28515625" style="91" customWidth="1"/>
    <col min="9482" max="9482" width="8.85546875" style="91" customWidth="1"/>
    <col min="9483" max="9483" width="8.42578125" style="91" customWidth="1"/>
    <col min="9484" max="9484" width="9.7109375" style="91" customWidth="1"/>
    <col min="9485" max="9485" width="10.42578125" style="91" customWidth="1"/>
    <col min="9486" max="9486" width="9.5703125" style="91" customWidth="1"/>
    <col min="9487" max="9487" width="9.85546875" style="91" customWidth="1"/>
    <col min="9488" max="9488" width="8" style="91" customWidth="1"/>
    <col min="9489" max="9489" width="8.140625" style="91" customWidth="1"/>
    <col min="9490" max="9490" width="8.28515625" style="91" customWidth="1"/>
    <col min="9491" max="9491" width="9.42578125" style="91" customWidth="1"/>
    <col min="9492" max="9492" width="11.85546875" style="91" customWidth="1"/>
    <col min="9493" max="9728" width="9.140625" style="91"/>
    <col min="9729" max="9729" width="3.28515625" style="91" customWidth="1"/>
    <col min="9730" max="9730" width="0.140625" style="91" customWidth="1"/>
    <col min="9731" max="9731" width="7.42578125" style="91" customWidth="1"/>
    <col min="9732" max="9732" width="1.28515625" style="91" customWidth="1"/>
    <col min="9733" max="9733" width="6.5703125" style="91" customWidth="1"/>
    <col min="9734" max="9734" width="17" style="91" customWidth="1"/>
    <col min="9735" max="9735" width="7.7109375" style="91" customWidth="1"/>
    <col min="9736" max="9736" width="11.85546875" style="91" customWidth="1"/>
    <col min="9737" max="9737" width="8.28515625" style="91" customWidth="1"/>
    <col min="9738" max="9738" width="8.85546875" style="91" customWidth="1"/>
    <col min="9739" max="9739" width="8.42578125" style="91" customWidth="1"/>
    <col min="9740" max="9740" width="9.7109375" style="91" customWidth="1"/>
    <col min="9741" max="9741" width="10.42578125" style="91" customWidth="1"/>
    <col min="9742" max="9742" width="9.5703125" style="91" customWidth="1"/>
    <col min="9743" max="9743" width="9.85546875" style="91" customWidth="1"/>
    <col min="9744" max="9744" width="8" style="91" customWidth="1"/>
    <col min="9745" max="9745" width="8.140625" style="91" customWidth="1"/>
    <col min="9746" max="9746" width="8.28515625" style="91" customWidth="1"/>
    <col min="9747" max="9747" width="9.42578125" style="91" customWidth="1"/>
    <col min="9748" max="9748" width="11.85546875" style="91" customWidth="1"/>
    <col min="9749" max="9984" width="9.140625" style="91"/>
    <col min="9985" max="9985" width="3.28515625" style="91" customWidth="1"/>
    <col min="9986" max="9986" width="0.140625" style="91" customWidth="1"/>
    <col min="9987" max="9987" width="7.42578125" style="91" customWidth="1"/>
    <col min="9988" max="9988" width="1.28515625" style="91" customWidth="1"/>
    <col min="9989" max="9989" width="6.5703125" style="91" customWidth="1"/>
    <col min="9990" max="9990" width="17" style="91" customWidth="1"/>
    <col min="9991" max="9991" width="7.7109375" style="91" customWidth="1"/>
    <col min="9992" max="9992" width="11.85546875" style="91" customWidth="1"/>
    <col min="9993" max="9993" width="8.28515625" style="91" customWidth="1"/>
    <col min="9994" max="9994" width="8.85546875" style="91" customWidth="1"/>
    <col min="9995" max="9995" width="8.42578125" style="91" customWidth="1"/>
    <col min="9996" max="9996" width="9.7109375" style="91" customWidth="1"/>
    <col min="9997" max="9997" width="10.42578125" style="91" customWidth="1"/>
    <col min="9998" max="9998" width="9.5703125" style="91" customWidth="1"/>
    <col min="9999" max="9999" width="9.85546875" style="91" customWidth="1"/>
    <col min="10000" max="10000" width="8" style="91" customWidth="1"/>
    <col min="10001" max="10001" width="8.140625" style="91" customWidth="1"/>
    <col min="10002" max="10002" width="8.28515625" style="91" customWidth="1"/>
    <col min="10003" max="10003" width="9.42578125" style="91" customWidth="1"/>
    <col min="10004" max="10004" width="11.85546875" style="91" customWidth="1"/>
    <col min="10005" max="10240" width="9.140625" style="91"/>
    <col min="10241" max="10241" width="3.28515625" style="91" customWidth="1"/>
    <col min="10242" max="10242" width="0.140625" style="91" customWidth="1"/>
    <col min="10243" max="10243" width="7.42578125" style="91" customWidth="1"/>
    <col min="10244" max="10244" width="1.28515625" style="91" customWidth="1"/>
    <col min="10245" max="10245" width="6.5703125" style="91" customWidth="1"/>
    <col min="10246" max="10246" width="17" style="91" customWidth="1"/>
    <col min="10247" max="10247" width="7.7109375" style="91" customWidth="1"/>
    <col min="10248" max="10248" width="11.85546875" style="91" customWidth="1"/>
    <col min="10249" max="10249" width="8.28515625" style="91" customWidth="1"/>
    <col min="10250" max="10250" width="8.85546875" style="91" customWidth="1"/>
    <col min="10251" max="10251" width="8.42578125" style="91" customWidth="1"/>
    <col min="10252" max="10252" width="9.7109375" style="91" customWidth="1"/>
    <col min="10253" max="10253" width="10.42578125" style="91" customWidth="1"/>
    <col min="10254" max="10254" width="9.5703125" style="91" customWidth="1"/>
    <col min="10255" max="10255" width="9.85546875" style="91" customWidth="1"/>
    <col min="10256" max="10256" width="8" style="91" customWidth="1"/>
    <col min="10257" max="10257" width="8.140625" style="91" customWidth="1"/>
    <col min="10258" max="10258" width="8.28515625" style="91" customWidth="1"/>
    <col min="10259" max="10259" width="9.42578125" style="91" customWidth="1"/>
    <col min="10260" max="10260" width="11.85546875" style="91" customWidth="1"/>
    <col min="10261" max="10496" width="9.140625" style="91"/>
    <col min="10497" max="10497" width="3.28515625" style="91" customWidth="1"/>
    <col min="10498" max="10498" width="0.140625" style="91" customWidth="1"/>
    <col min="10499" max="10499" width="7.42578125" style="91" customWidth="1"/>
    <col min="10500" max="10500" width="1.28515625" style="91" customWidth="1"/>
    <col min="10501" max="10501" width="6.5703125" style="91" customWidth="1"/>
    <col min="10502" max="10502" width="17" style="91" customWidth="1"/>
    <col min="10503" max="10503" width="7.7109375" style="91" customWidth="1"/>
    <col min="10504" max="10504" width="11.85546875" style="91" customWidth="1"/>
    <col min="10505" max="10505" width="8.28515625" style="91" customWidth="1"/>
    <col min="10506" max="10506" width="8.85546875" style="91" customWidth="1"/>
    <col min="10507" max="10507" width="8.42578125" style="91" customWidth="1"/>
    <col min="10508" max="10508" width="9.7109375" style="91" customWidth="1"/>
    <col min="10509" max="10509" width="10.42578125" style="91" customWidth="1"/>
    <col min="10510" max="10510" width="9.5703125" style="91" customWidth="1"/>
    <col min="10511" max="10511" width="9.85546875" style="91" customWidth="1"/>
    <col min="10512" max="10512" width="8" style="91" customWidth="1"/>
    <col min="10513" max="10513" width="8.140625" style="91" customWidth="1"/>
    <col min="10514" max="10514" width="8.28515625" style="91" customWidth="1"/>
    <col min="10515" max="10515" width="9.42578125" style="91" customWidth="1"/>
    <col min="10516" max="10516" width="11.85546875" style="91" customWidth="1"/>
    <col min="10517" max="10752" width="9.140625" style="91"/>
    <col min="10753" max="10753" width="3.28515625" style="91" customWidth="1"/>
    <col min="10754" max="10754" width="0.140625" style="91" customWidth="1"/>
    <col min="10755" max="10755" width="7.42578125" style="91" customWidth="1"/>
    <col min="10756" max="10756" width="1.28515625" style="91" customWidth="1"/>
    <col min="10757" max="10757" width="6.5703125" style="91" customWidth="1"/>
    <col min="10758" max="10758" width="17" style="91" customWidth="1"/>
    <col min="10759" max="10759" width="7.7109375" style="91" customWidth="1"/>
    <col min="10760" max="10760" width="11.85546875" style="91" customWidth="1"/>
    <col min="10761" max="10761" width="8.28515625" style="91" customWidth="1"/>
    <col min="10762" max="10762" width="8.85546875" style="91" customWidth="1"/>
    <col min="10763" max="10763" width="8.42578125" style="91" customWidth="1"/>
    <col min="10764" max="10764" width="9.7109375" style="91" customWidth="1"/>
    <col min="10765" max="10765" width="10.42578125" style="91" customWidth="1"/>
    <col min="10766" max="10766" width="9.5703125" style="91" customWidth="1"/>
    <col min="10767" max="10767" width="9.85546875" style="91" customWidth="1"/>
    <col min="10768" max="10768" width="8" style="91" customWidth="1"/>
    <col min="10769" max="10769" width="8.140625" style="91" customWidth="1"/>
    <col min="10770" max="10770" width="8.28515625" style="91" customWidth="1"/>
    <col min="10771" max="10771" width="9.42578125" style="91" customWidth="1"/>
    <col min="10772" max="10772" width="11.85546875" style="91" customWidth="1"/>
    <col min="10773" max="11008" width="9.140625" style="91"/>
    <col min="11009" max="11009" width="3.28515625" style="91" customWidth="1"/>
    <col min="11010" max="11010" width="0.140625" style="91" customWidth="1"/>
    <col min="11011" max="11011" width="7.42578125" style="91" customWidth="1"/>
    <col min="11012" max="11012" width="1.28515625" style="91" customWidth="1"/>
    <col min="11013" max="11013" width="6.5703125" style="91" customWidth="1"/>
    <col min="11014" max="11014" width="17" style="91" customWidth="1"/>
    <col min="11015" max="11015" width="7.7109375" style="91" customWidth="1"/>
    <col min="11016" max="11016" width="11.85546875" style="91" customWidth="1"/>
    <col min="11017" max="11017" width="8.28515625" style="91" customWidth="1"/>
    <col min="11018" max="11018" width="8.85546875" style="91" customWidth="1"/>
    <col min="11019" max="11019" width="8.42578125" style="91" customWidth="1"/>
    <col min="11020" max="11020" width="9.7109375" style="91" customWidth="1"/>
    <col min="11021" max="11021" width="10.42578125" style="91" customWidth="1"/>
    <col min="11022" max="11022" width="9.5703125" style="91" customWidth="1"/>
    <col min="11023" max="11023" width="9.85546875" style="91" customWidth="1"/>
    <col min="11024" max="11024" width="8" style="91" customWidth="1"/>
    <col min="11025" max="11025" width="8.140625" style="91" customWidth="1"/>
    <col min="11026" max="11026" width="8.28515625" style="91" customWidth="1"/>
    <col min="11027" max="11027" width="9.42578125" style="91" customWidth="1"/>
    <col min="11028" max="11028" width="11.85546875" style="91" customWidth="1"/>
    <col min="11029" max="11264" width="9.140625" style="91"/>
    <col min="11265" max="11265" width="3.28515625" style="91" customWidth="1"/>
    <col min="11266" max="11266" width="0.140625" style="91" customWidth="1"/>
    <col min="11267" max="11267" width="7.42578125" style="91" customWidth="1"/>
    <col min="11268" max="11268" width="1.28515625" style="91" customWidth="1"/>
    <col min="11269" max="11269" width="6.5703125" style="91" customWidth="1"/>
    <col min="11270" max="11270" width="17" style="91" customWidth="1"/>
    <col min="11271" max="11271" width="7.7109375" style="91" customWidth="1"/>
    <col min="11272" max="11272" width="11.85546875" style="91" customWidth="1"/>
    <col min="11273" max="11273" width="8.28515625" style="91" customWidth="1"/>
    <col min="11274" max="11274" width="8.85546875" style="91" customWidth="1"/>
    <col min="11275" max="11275" width="8.42578125" style="91" customWidth="1"/>
    <col min="11276" max="11276" width="9.7109375" style="91" customWidth="1"/>
    <col min="11277" max="11277" width="10.42578125" style="91" customWidth="1"/>
    <col min="11278" max="11278" width="9.5703125" style="91" customWidth="1"/>
    <col min="11279" max="11279" width="9.85546875" style="91" customWidth="1"/>
    <col min="11280" max="11280" width="8" style="91" customWidth="1"/>
    <col min="11281" max="11281" width="8.140625" style="91" customWidth="1"/>
    <col min="11282" max="11282" width="8.28515625" style="91" customWidth="1"/>
    <col min="11283" max="11283" width="9.42578125" style="91" customWidth="1"/>
    <col min="11284" max="11284" width="11.85546875" style="91" customWidth="1"/>
    <col min="11285" max="11520" width="9.140625" style="91"/>
    <col min="11521" max="11521" width="3.28515625" style="91" customWidth="1"/>
    <col min="11522" max="11522" width="0.140625" style="91" customWidth="1"/>
    <col min="11523" max="11523" width="7.42578125" style="91" customWidth="1"/>
    <col min="11524" max="11524" width="1.28515625" style="91" customWidth="1"/>
    <col min="11525" max="11525" width="6.5703125" style="91" customWidth="1"/>
    <col min="11526" max="11526" width="17" style="91" customWidth="1"/>
    <col min="11527" max="11527" width="7.7109375" style="91" customWidth="1"/>
    <col min="11528" max="11528" width="11.85546875" style="91" customWidth="1"/>
    <col min="11529" max="11529" width="8.28515625" style="91" customWidth="1"/>
    <col min="11530" max="11530" width="8.85546875" style="91" customWidth="1"/>
    <col min="11531" max="11531" width="8.42578125" style="91" customWidth="1"/>
    <col min="11532" max="11532" width="9.7109375" style="91" customWidth="1"/>
    <col min="11533" max="11533" width="10.42578125" style="91" customWidth="1"/>
    <col min="11534" max="11534" width="9.5703125" style="91" customWidth="1"/>
    <col min="11535" max="11535" width="9.85546875" style="91" customWidth="1"/>
    <col min="11536" max="11536" width="8" style="91" customWidth="1"/>
    <col min="11537" max="11537" width="8.140625" style="91" customWidth="1"/>
    <col min="11538" max="11538" width="8.28515625" style="91" customWidth="1"/>
    <col min="11539" max="11539" width="9.42578125" style="91" customWidth="1"/>
    <col min="11540" max="11540" width="11.85546875" style="91" customWidth="1"/>
    <col min="11541" max="11776" width="9.140625" style="91"/>
    <col min="11777" max="11777" width="3.28515625" style="91" customWidth="1"/>
    <col min="11778" max="11778" width="0.140625" style="91" customWidth="1"/>
    <col min="11779" max="11779" width="7.42578125" style="91" customWidth="1"/>
    <col min="11780" max="11780" width="1.28515625" style="91" customWidth="1"/>
    <col min="11781" max="11781" width="6.5703125" style="91" customWidth="1"/>
    <col min="11782" max="11782" width="17" style="91" customWidth="1"/>
    <col min="11783" max="11783" width="7.7109375" style="91" customWidth="1"/>
    <col min="11784" max="11784" width="11.85546875" style="91" customWidth="1"/>
    <col min="11785" max="11785" width="8.28515625" style="91" customWidth="1"/>
    <col min="11786" max="11786" width="8.85546875" style="91" customWidth="1"/>
    <col min="11787" max="11787" width="8.42578125" style="91" customWidth="1"/>
    <col min="11788" max="11788" width="9.7109375" style="91" customWidth="1"/>
    <col min="11789" max="11789" width="10.42578125" style="91" customWidth="1"/>
    <col min="11790" max="11790" width="9.5703125" style="91" customWidth="1"/>
    <col min="11791" max="11791" width="9.85546875" style="91" customWidth="1"/>
    <col min="11792" max="11792" width="8" style="91" customWidth="1"/>
    <col min="11793" max="11793" width="8.140625" style="91" customWidth="1"/>
    <col min="11794" max="11794" width="8.28515625" style="91" customWidth="1"/>
    <col min="11795" max="11795" width="9.42578125" style="91" customWidth="1"/>
    <col min="11796" max="11796" width="11.85546875" style="91" customWidth="1"/>
    <col min="11797" max="12032" width="9.140625" style="91"/>
    <col min="12033" max="12033" width="3.28515625" style="91" customWidth="1"/>
    <col min="12034" max="12034" width="0.140625" style="91" customWidth="1"/>
    <col min="12035" max="12035" width="7.42578125" style="91" customWidth="1"/>
    <col min="12036" max="12036" width="1.28515625" style="91" customWidth="1"/>
    <col min="12037" max="12037" width="6.5703125" style="91" customWidth="1"/>
    <col min="12038" max="12038" width="17" style="91" customWidth="1"/>
    <col min="12039" max="12039" width="7.7109375" style="91" customWidth="1"/>
    <col min="12040" max="12040" width="11.85546875" style="91" customWidth="1"/>
    <col min="12041" max="12041" width="8.28515625" style="91" customWidth="1"/>
    <col min="12042" max="12042" width="8.85546875" style="91" customWidth="1"/>
    <col min="12043" max="12043" width="8.42578125" style="91" customWidth="1"/>
    <col min="12044" max="12044" width="9.7109375" style="91" customWidth="1"/>
    <col min="12045" max="12045" width="10.42578125" style="91" customWidth="1"/>
    <col min="12046" max="12046" width="9.5703125" style="91" customWidth="1"/>
    <col min="12047" max="12047" width="9.85546875" style="91" customWidth="1"/>
    <col min="12048" max="12048" width="8" style="91" customWidth="1"/>
    <col min="12049" max="12049" width="8.140625" style="91" customWidth="1"/>
    <col min="12050" max="12050" width="8.28515625" style="91" customWidth="1"/>
    <col min="12051" max="12051" width="9.42578125" style="91" customWidth="1"/>
    <col min="12052" max="12052" width="11.85546875" style="91" customWidth="1"/>
    <col min="12053" max="12288" width="9.140625" style="91"/>
    <col min="12289" max="12289" width="3.28515625" style="91" customWidth="1"/>
    <col min="12290" max="12290" width="0.140625" style="91" customWidth="1"/>
    <col min="12291" max="12291" width="7.42578125" style="91" customWidth="1"/>
    <col min="12292" max="12292" width="1.28515625" style="91" customWidth="1"/>
    <col min="12293" max="12293" width="6.5703125" style="91" customWidth="1"/>
    <col min="12294" max="12294" width="17" style="91" customWidth="1"/>
    <col min="12295" max="12295" width="7.7109375" style="91" customWidth="1"/>
    <col min="12296" max="12296" width="11.85546875" style="91" customWidth="1"/>
    <col min="12297" max="12297" width="8.28515625" style="91" customWidth="1"/>
    <col min="12298" max="12298" width="8.85546875" style="91" customWidth="1"/>
    <col min="12299" max="12299" width="8.42578125" style="91" customWidth="1"/>
    <col min="12300" max="12300" width="9.7109375" style="91" customWidth="1"/>
    <col min="12301" max="12301" width="10.42578125" style="91" customWidth="1"/>
    <col min="12302" max="12302" width="9.5703125" style="91" customWidth="1"/>
    <col min="12303" max="12303" width="9.85546875" style="91" customWidth="1"/>
    <col min="12304" max="12304" width="8" style="91" customWidth="1"/>
    <col min="12305" max="12305" width="8.140625" style="91" customWidth="1"/>
    <col min="12306" max="12306" width="8.28515625" style="91" customWidth="1"/>
    <col min="12307" max="12307" width="9.42578125" style="91" customWidth="1"/>
    <col min="12308" max="12308" width="11.85546875" style="91" customWidth="1"/>
    <col min="12309" max="12544" width="9.140625" style="91"/>
    <col min="12545" max="12545" width="3.28515625" style="91" customWidth="1"/>
    <col min="12546" max="12546" width="0.140625" style="91" customWidth="1"/>
    <col min="12547" max="12547" width="7.42578125" style="91" customWidth="1"/>
    <col min="12548" max="12548" width="1.28515625" style="91" customWidth="1"/>
    <col min="12549" max="12549" width="6.5703125" style="91" customWidth="1"/>
    <col min="12550" max="12550" width="17" style="91" customWidth="1"/>
    <col min="12551" max="12551" width="7.7109375" style="91" customWidth="1"/>
    <col min="12552" max="12552" width="11.85546875" style="91" customWidth="1"/>
    <col min="12553" max="12553" width="8.28515625" style="91" customWidth="1"/>
    <col min="12554" max="12554" width="8.85546875" style="91" customWidth="1"/>
    <col min="12555" max="12555" width="8.42578125" style="91" customWidth="1"/>
    <col min="12556" max="12556" width="9.7109375" style="91" customWidth="1"/>
    <col min="12557" max="12557" width="10.42578125" style="91" customWidth="1"/>
    <col min="12558" max="12558" width="9.5703125" style="91" customWidth="1"/>
    <col min="12559" max="12559" width="9.85546875" style="91" customWidth="1"/>
    <col min="12560" max="12560" width="8" style="91" customWidth="1"/>
    <col min="12561" max="12561" width="8.140625" style="91" customWidth="1"/>
    <col min="12562" max="12562" width="8.28515625" style="91" customWidth="1"/>
    <col min="12563" max="12563" width="9.42578125" style="91" customWidth="1"/>
    <col min="12564" max="12564" width="11.85546875" style="91" customWidth="1"/>
    <col min="12565" max="12800" width="9.140625" style="91"/>
    <col min="12801" max="12801" width="3.28515625" style="91" customWidth="1"/>
    <col min="12802" max="12802" width="0.140625" style="91" customWidth="1"/>
    <col min="12803" max="12803" width="7.42578125" style="91" customWidth="1"/>
    <col min="12804" max="12804" width="1.28515625" style="91" customWidth="1"/>
    <col min="12805" max="12805" width="6.5703125" style="91" customWidth="1"/>
    <col min="12806" max="12806" width="17" style="91" customWidth="1"/>
    <col min="12807" max="12807" width="7.7109375" style="91" customWidth="1"/>
    <col min="12808" max="12808" width="11.85546875" style="91" customWidth="1"/>
    <col min="12809" max="12809" width="8.28515625" style="91" customWidth="1"/>
    <col min="12810" max="12810" width="8.85546875" style="91" customWidth="1"/>
    <col min="12811" max="12811" width="8.42578125" style="91" customWidth="1"/>
    <col min="12812" max="12812" width="9.7109375" style="91" customWidth="1"/>
    <col min="12813" max="12813" width="10.42578125" style="91" customWidth="1"/>
    <col min="12814" max="12814" width="9.5703125" style="91" customWidth="1"/>
    <col min="12815" max="12815" width="9.85546875" style="91" customWidth="1"/>
    <col min="12816" max="12816" width="8" style="91" customWidth="1"/>
    <col min="12817" max="12817" width="8.140625" style="91" customWidth="1"/>
    <col min="12818" max="12818" width="8.28515625" style="91" customWidth="1"/>
    <col min="12819" max="12819" width="9.42578125" style="91" customWidth="1"/>
    <col min="12820" max="12820" width="11.85546875" style="91" customWidth="1"/>
    <col min="12821" max="13056" width="9.140625" style="91"/>
    <col min="13057" max="13057" width="3.28515625" style="91" customWidth="1"/>
    <col min="13058" max="13058" width="0.140625" style="91" customWidth="1"/>
    <col min="13059" max="13059" width="7.42578125" style="91" customWidth="1"/>
    <col min="13060" max="13060" width="1.28515625" style="91" customWidth="1"/>
    <col min="13061" max="13061" width="6.5703125" style="91" customWidth="1"/>
    <col min="13062" max="13062" width="17" style="91" customWidth="1"/>
    <col min="13063" max="13063" width="7.7109375" style="91" customWidth="1"/>
    <col min="13064" max="13064" width="11.85546875" style="91" customWidth="1"/>
    <col min="13065" max="13065" width="8.28515625" style="91" customWidth="1"/>
    <col min="13066" max="13066" width="8.85546875" style="91" customWidth="1"/>
    <col min="13067" max="13067" width="8.42578125" style="91" customWidth="1"/>
    <col min="13068" max="13068" width="9.7109375" style="91" customWidth="1"/>
    <col min="13069" max="13069" width="10.42578125" style="91" customWidth="1"/>
    <col min="13070" max="13070" width="9.5703125" style="91" customWidth="1"/>
    <col min="13071" max="13071" width="9.85546875" style="91" customWidth="1"/>
    <col min="13072" max="13072" width="8" style="91" customWidth="1"/>
    <col min="13073" max="13073" width="8.140625" style="91" customWidth="1"/>
    <col min="13074" max="13074" width="8.28515625" style="91" customWidth="1"/>
    <col min="13075" max="13075" width="9.42578125" style="91" customWidth="1"/>
    <col min="13076" max="13076" width="11.85546875" style="91" customWidth="1"/>
    <col min="13077" max="13312" width="9.140625" style="91"/>
    <col min="13313" max="13313" width="3.28515625" style="91" customWidth="1"/>
    <col min="13314" max="13314" width="0.140625" style="91" customWidth="1"/>
    <col min="13315" max="13315" width="7.42578125" style="91" customWidth="1"/>
    <col min="13316" max="13316" width="1.28515625" style="91" customWidth="1"/>
    <col min="13317" max="13317" width="6.5703125" style="91" customWidth="1"/>
    <col min="13318" max="13318" width="17" style="91" customWidth="1"/>
    <col min="13319" max="13319" width="7.7109375" style="91" customWidth="1"/>
    <col min="13320" max="13320" width="11.85546875" style="91" customWidth="1"/>
    <col min="13321" max="13321" width="8.28515625" style="91" customWidth="1"/>
    <col min="13322" max="13322" width="8.85546875" style="91" customWidth="1"/>
    <col min="13323" max="13323" width="8.42578125" style="91" customWidth="1"/>
    <col min="13324" max="13324" width="9.7109375" style="91" customWidth="1"/>
    <col min="13325" max="13325" width="10.42578125" style="91" customWidth="1"/>
    <col min="13326" max="13326" width="9.5703125" style="91" customWidth="1"/>
    <col min="13327" max="13327" width="9.85546875" style="91" customWidth="1"/>
    <col min="13328" max="13328" width="8" style="91" customWidth="1"/>
    <col min="13329" max="13329" width="8.140625" style="91" customWidth="1"/>
    <col min="13330" max="13330" width="8.28515625" style="91" customWidth="1"/>
    <col min="13331" max="13331" width="9.42578125" style="91" customWidth="1"/>
    <col min="13332" max="13332" width="11.85546875" style="91" customWidth="1"/>
    <col min="13333" max="13568" width="9.140625" style="91"/>
    <col min="13569" max="13569" width="3.28515625" style="91" customWidth="1"/>
    <col min="13570" max="13570" width="0.140625" style="91" customWidth="1"/>
    <col min="13571" max="13571" width="7.42578125" style="91" customWidth="1"/>
    <col min="13572" max="13572" width="1.28515625" style="91" customWidth="1"/>
    <col min="13573" max="13573" width="6.5703125" style="91" customWidth="1"/>
    <col min="13574" max="13574" width="17" style="91" customWidth="1"/>
    <col min="13575" max="13575" width="7.7109375" style="91" customWidth="1"/>
    <col min="13576" max="13576" width="11.85546875" style="91" customWidth="1"/>
    <col min="13577" max="13577" width="8.28515625" style="91" customWidth="1"/>
    <col min="13578" max="13578" width="8.85546875" style="91" customWidth="1"/>
    <col min="13579" max="13579" width="8.42578125" style="91" customWidth="1"/>
    <col min="13580" max="13580" width="9.7109375" style="91" customWidth="1"/>
    <col min="13581" max="13581" width="10.42578125" style="91" customWidth="1"/>
    <col min="13582" max="13582" width="9.5703125" style="91" customWidth="1"/>
    <col min="13583" max="13583" width="9.85546875" style="91" customWidth="1"/>
    <col min="13584" max="13584" width="8" style="91" customWidth="1"/>
    <col min="13585" max="13585" width="8.140625" style="91" customWidth="1"/>
    <col min="13586" max="13586" width="8.28515625" style="91" customWidth="1"/>
    <col min="13587" max="13587" width="9.42578125" style="91" customWidth="1"/>
    <col min="13588" max="13588" width="11.85546875" style="91" customWidth="1"/>
    <col min="13589" max="13824" width="9.140625" style="91"/>
    <col min="13825" max="13825" width="3.28515625" style="91" customWidth="1"/>
    <col min="13826" max="13826" width="0.140625" style="91" customWidth="1"/>
    <col min="13827" max="13827" width="7.42578125" style="91" customWidth="1"/>
    <col min="13828" max="13828" width="1.28515625" style="91" customWidth="1"/>
    <col min="13829" max="13829" width="6.5703125" style="91" customWidth="1"/>
    <col min="13830" max="13830" width="17" style="91" customWidth="1"/>
    <col min="13831" max="13831" width="7.7109375" style="91" customWidth="1"/>
    <col min="13832" max="13832" width="11.85546875" style="91" customWidth="1"/>
    <col min="13833" max="13833" width="8.28515625" style="91" customWidth="1"/>
    <col min="13834" max="13834" width="8.85546875" style="91" customWidth="1"/>
    <col min="13835" max="13835" width="8.42578125" style="91" customWidth="1"/>
    <col min="13836" max="13836" width="9.7109375" style="91" customWidth="1"/>
    <col min="13837" max="13837" width="10.42578125" style="91" customWidth="1"/>
    <col min="13838" max="13838" width="9.5703125" style="91" customWidth="1"/>
    <col min="13839" max="13839" width="9.85546875" style="91" customWidth="1"/>
    <col min="13840" max="13840" width="8" style="91" customWidth="1"/>
    <col min="13841" max="13841" width="8.140625" style="91" customWidth="1"/>
    <col min="13842" max="13842" width="8.28515625" style="91" customWidth="1"/>
    <col min="13843" max="13843" width="9.42578125" style="91" customWidth="1"/>
    <col min="13844" max="13844" width="11.85546875" style="91" customWidth="1"/>
    <col min="13845" max="14080" width="9.140625" style="91"/>
    <col min="14081" max="14081" width="3.28515625" style="91" customWidth="1"/>
    <col min="14082" max="14082" width="0.140625" style="91" customWidth="1"/>
    <col min="14083" max="14083" width="7.42578125" style="91" customWidth="1"/>
    <col min="14084" max="14084" width="1.28515625" style="91" customWidth="1"/>
    <col min="14085" max="14085" width="6.5703125" style="91" customWidth="1"/>
    <col min="14086" max="14086" width="17" style="91" customWidth="1"/>
    <col min="14087" max="14087" width="7.7109375" style="91" customWidth="1"/>
    <col min="14088" max="14088" width="11.85546875" style="91" customWidth="1"/>
    <col min="14089" max="14089" width="8.28515625" style="91" customWidth="1"/>
    <col min="14090" max="14090" width="8.85546875" style="91" customWidth="1"/>
    <col min="14091" max="14091" width="8.42578125" style="91" customWidth="1"/>
    <col min="14092" max="14092" width="9.7109375" style="91" customWidth="1"/>
    <col min="14093" max="14093" width="10.42578125" style="91" customWidth="1"/>
    <col min="14094" max="14094" width="9.5703125" style="91" customWidth="1"/>
    <col min="14095" max="14095" width="9.85546875" style="91" customWidth="1"/>
    <col min="14096" max="14096" width="8" style="91" customWidth="1"/>
    <col min="14097" max="14097" width="8.140625" style="91" customWidth="1"/>
    <col min="14098" max="14098" width="8.28515625" style="91" customWidth="1"/>
    <col min="14099" max="14099" width="9.42578125" style="91" customWidth="1"/>
    <col min="14100" max="14100" width="11.85546875" style="91" customWidth="1"/>
    <col min="14101" max="14336" width="9.140625" style="91"/>
    <col min="14337" max="14337" width="3.28515625" style="91" customWidth="1"/>
    <col min="14338" max="14338" width="0.140625" style="91" customWidth="1"/>
    <col min="14339" max="14339" width="7.42578125" style="91" customWidth="1"/>
    <col min="14340" max="14340" width="1.28515625" style="91" customWidth="1"/>
    <col min="14341" max="14341" width="6.5703125" style="91" customWidth="1"/>
    <col min="14342" max="14342" width="17" style="91" customWidth="1"/>
    <col min="14343" max="14343" width="7.7109375" style="91" customWidth="1"/>
    <col min="14344" max="14344" width="11.85546875" style="91" customWidth="1"/>
    <col min="14345" max="14345" width="8.28515625" style="91" customWidth="1"/>
    <col min="14346" max="14346" width="8.85546875" style="91" customWidth="1"/>
    <col min="14347" max="14347" width="8.42578125" style="91" customWidth="1"/>
    <col min="14348" max="14348" width="9.7109375" style="91" customWidth="1"/>
    <col min="14349" max="14349" width="10.42578125" style="91" customWidth="1"/>
    <col min="14350" max="14350" width="9.5703125" style="91" customWidth="1"/>
    <col min="14351" max="14351" width="9.85546875" style="91" customWidth="1"/>
    <col min="14352" max="14352" width="8" style="91" customWidth="1"/>
    <col min="14353" max="14353" width="8.140625" style="91" customWidth="1"/>
    <col min="14354" max="14354" width="8.28515625" style="91" customWidth="1"/>
    <col min="14355" max="14355" width="9.42578125" style="91" customWidth="1"/>
    <col min="14356" max="14356" width="11.85546875" style="91" customWidth="1"/>
    <col min="14357" max="14592" width="9.140625" style="91"/>
    <col min="14593" max="14593" width="3.28515625" style="91" customWidth="1"/>
    <col min="14594" max="14594" width="0.140625" style="91" customWidth="1"/>
    <col min="14595" max="14595" width="7.42578125" style="91" customWidth="1"/>
    <col min="14596" max="14596" width="1.28515625" style="91" customWidth="1"/>
    <col min="14597" max="14597" width="6.5703125" style="91" customWidth="1"/>
    <col min="14598" max="14598" width="17" style="91" customWidth="1"/>
    <col min="14599" max="14599" width="7.7109375" style="91" customWidth="1"/>
    <col min="14600" max="14600" width="11.85546875" style="91" customWidth="1"/>
    <col min="14601" max="14601" width="8.28515625" style="91" customWidth="1"/>
    <col min="14602" max="14602" width="8.85546875" style="91" customWidth="1"/>
    <col min="14603" max="14603" width="8.42578125" style="91" customWidth="1"/>
    <col min="14604" max="14604" width="9.7109375" style="91" customWidth="1"/>
    <col min="14605" max="14605" width="10.42578125" style="91" customWidth="1"/>
    <col min="14606" max="14606" width="9.5703125" style="91" customWidth="1"/>
    <col min="14607" max="14607" width="9.85546875" style="91" customWidth="1"/>
    <col min="14608" max="14608" width="8" style="91" customWidth="1"/>
    <col min="14609" max="14609" width="8.140625" style="91" customWidth="1"/>
    <col min="14610" max="14610" width="8.28515625" style="91" customWidth="1"/>
    <col min="14611" max="14611" width="9.42578125" style="91" customWidth="1"/>
    <col min="14612" max="14612" width="11.85546875" style="91" customWidth="1"/>
    <col min="14613" max="14848" width="9.140625" style="91"/>
    <col min="14849" max="14849" width="3.28515625" style="91" customWidth="1"/>
    <col min="14850" max="14850" width="0.140625" style="91" customWidth="1"/>
    <col min="14851" max="14851" width="7.42578125" style="91" customWidth="1"/>
    <col min="14852" max="14852" width="1.28515625" style="91" customWidth="1"/>
    <col min="14853" max="14853" width="6.5703125" style="91" customWidth="1"/>
    <col min="14854" max="14854" width="17" style="91" customWidth="1"/>
    <col min="14855" max="14855" width="7.7109375" style="91" customWidth="1"/>
    <col min="14856" max="14856" width="11.85546875" style="91" customWidth="1"/>
    <col min="14857" max="14857" width="8.28515625" style="91" customWidth="1"/>
    <col min="14858" max="14858" width="8.85546875" style="91" customWidth="1"/>
    <col min="14859" max="14859" width="8.42578125" style="91" customWidth="1"/>
    <col min="14860" max="14860" width="9.7109375" style="91" customWidth="1"/>
    <col min="14861" max="14861" width="10.42578125" style="91" customWidth="1"/>
    <col min="14862" max="14862" width="9.5703125" style="91" customWidth="1"/>
    <col min="14863" max="14863" width="9.85546875" style="91" customWidth="1"/>
    <col min="14864" max="14864" width="8" style="91" customWidth="1"/>
    <col min="14865" max="14865" width="8.140625" style="91" customWidth="1"/>
    <col min="14866" max="14866" width="8.28515625" style="91" customWidth="1"/>
    <col min="14867" max="14867" width="9.42578125" style="91" customWidth="1"/>
    <col min="14868" max="14868" width="11.85546875" style="91" customWidth="1"/>
    <col min="14869" max="15104" width="9.140625" style="91"/>
    <col min="15105" max="15105" width="3.28515625" style="91" customWidth="1"/>
    <col min="15106" max="15106" width="0.140625" style="91" customWidth="1"/>
    <col min="15107" max="15107" width="7.42578125" style="91" customWidth="1"/>
    <col min="15108" max="15108" width="1.28515625" style="91" customWidth="1"/>
    <col min="15109" max="15109" width="6.5703125" style="91" customWidth="1"/>
    <col min="15110" max="15110" width="17" style="91" customWidth="1"/>
    <col min="15111" max="15111" width="7.7109375" style="91" customWidth="1"/>
    <col min="15112" max="15112" width="11.85546875" style="91" customWidth="1"/>
    <col min="15113" max="15113" width="8.28515625" style="91" customWidth="1"/>
    <col min="15114" max="15114" width="8.85546875" style="91" customWidth="1"/>
    <col min="15115" max="15115" width="8.42578125" style="91" customWidth="1"/>
    <col min="15116" max="15116" width="9.7109375" style="91" customWidth="1"/>
    <col min="15117" max="15117" width="10.42578125" style="91" customWidth="1"/>
    <col min="15118" max="15118" width="9.5703125" style="91" customWidth="1"/>
    <col min="15119" max="15119" width="9.85546875" style="91" customWidth="1"/>
    <col min="15120" max="15120" width="8" style="91" customWidth="1"/>
    <col min="15121" max="15121" width="8.140625" style="91" customWidth="1"/>
    <col min="15122" max="15122" width="8.28515625" style="91" customWidth="1"/>
    <col min="15123" max="15123" width="9.42578125" style="91" customWidth="1"/>
    <col min="15124" max="15124" width="11.85546875" style="91" customWidth="1"/>
    <col min="15125" max="15360" width="9.140625" style="91"/>
    <col min="15361" max="15361" width="3.28515625" style="91" customWidth="1"/>
    <col min="15362" max="15362" width="0.140625" style="91" customWidth="1"/>
    <col min="15363" max="15363" width="7.42578125" style="91" customWidth="1"/>
    <col min="15364" max="15364" width="1.28515625" style="91" customWidth="1"/>
    <col min="15365" max="15365" width="6.5703125" style="91" customWidth="1"/>
    <col min="15366" max="15366" width="17" style="91" customWidth="1"/>
    <col min="15367" max="15367" width="7.7109375" style="91" customWidth="1"/>
    <col min="15368" max="15368" width="11.85546875" style="91" customWidth="1"/>
    <col min="15369" max="15369" width="8.28515625" style="91" customWidth="1"/>
    <col min="15370" max="15370" width="8.85546875" style="91" customWidth="1"/>
    <col min="15371" max="15371" width="8.42578125" style="91" customWidth="1"/>
    <col min="15372" max="15372" width="9.7109375" style="91" customWidth="1"/>
    <col min="15373" max="15373" width="10.42578125" style="91" customWidth="1"/>
    <col min="15374" max="15374" width="9.5703125" style="91" customWidth="1"/>
    <col min="15375" max="15375" width="9.85546875" style="91" customWidth="1"/>
    <col min="15376" max="15376" width="8" style="91" customWidth="1"/>
    <col min="15377" max="15377" width="8.140625" style="91" customWidth="1"/>
    <col min="15378" max="15378" width="8.28515625" style="91" customWidth="1"/>
    <col min="15379" max="15379" width="9.42578125" style="91" customWidth="1"/>
    <col min="15380" max="15380" width="11.85546875" style="91" customWidth="1"/>
    <col min="15381" max="15616" width="9.140625" style="91"/>
    <col min="15617" max="15617" width="3.28515625" style="91" customWidth="1"/>
    <col min="15618" max="15618" width="0.140625" style="91" customWidth="1"/>
    <col min="15619" max="15619" width="7.42578125" style="91" customWidth="1"/>
    <col min="15620" max="15620" width="1.28515625" style="91" customWidth="1"/>
    <col min="15621" max="15621" width="6.5703125" style="91" customWidth="1"/>
    <col min="15622" max="15622" width="17" style="91" customWidth="1"/>
    <col min="15623" max="15623" width="7.7109375" style="91" customWidth="1"/>
    <col min="15624" max="15624" width="11.85546875" style="91" customWidth="1"/>
    <col min="15625" max="15625" width="8.28515625" style="91" customWidth="1"/>
    <col min="15626" max="15626" width="8.85546875" style="91" customWidth="1"/>
    <col min="15627" max="15627" width="8.42578125" style="91" customWidth="1"/>
    <col min="15628" max="15628" width="9.7109375" style="91" customWidth="1"/>
    <col min="15629" max="15629" width="10.42578125" style="91" customWidth="1"/>
    <col min="15630" max="15630" width="9.5703125" style="91" customWidth="1"/>
    <col min="15631" max="15631" width="9.85546875" style="91" customWidth="1"/>
    <col min="15632" max="15632" width="8" style="91" customWidth="1"/>
    <col min="15633" max="15633" width="8.140625" style="91" customWidth="1"/>
    <col min="15634" max="15634" width="8.28515625" style="91" customWidth="1"/>
    <col min="15635" max="15635" width="9.42578125" style="91" customWidth="1"/>
    <col min="15636" max="15636" width="11.85546875" style="91" customWidth="1"/>
    <col min="15637" max="15872" width="9.140625" style="91"/>
    <col min="15873" max="15873" width="3.28515625" style="91" customWidth="1"/>
    <col min="15874" max="15874" width="0.140625" style="91" customWidth="1"/>
    <col min="15875" max="15875" width="7.42578125" style="91" customWidth="1"/>
    <col min="15876" max="15876" width="1.28515625" style="91" customWidth="1"/>
    <col min="15877" max="15877" width="6.5703125" style="91" customWidth="1"/>
    <col min="15878" max="15878" width="17" style="91" customWidth="1"/>
    <col min="15879" max="15879" width="7.7109375" style="91" customWidth="1"/>
    <col min="15880" max="15880" width="11.85546875" style="91" customWidth="1"/>
    <col min="15881" max="15881" width="8.28515625" style="91" customWidth="1"/>
    <col min="15882" max="15882" width="8.85546875" style="91" customWidth="1"/>
    <col min="15883" max="15883" width="8.42578125" style="91" customWidth="1"/>
    <col min="15884" max="15884" width="9.7109375" style="91" customWidth="1"/>
    <col min="15885" max="15885" width="10.42578125" style="91" customWidth="1"/>
    <col min="15886" max="15886" width="9.5703125" style="91" customWidth="1"/>
    <col min="15887" max="15887" width="9.85546875" style="91" customWidth="1"/>
    <col min="15888" max="15888" width="8" style="91" customWidth="1"/>
    <col min="15889" max="15889" width="8.140625" style="91" customWidth="1"/>
    <col min="15890" max="15890" width="8.28515625" style="91" customWidth="1"/>
    <col min="15891" max="15891" width="9.42578125" style="91" customWidth="1"/>
    <col min="15892" max="15892" width="11.85546875" style="91" customWidth="1"/>
    <col min="15893" max="16128" width="9.140625" style="91"/>
    <col min="16129" max="16129" width="3.28515625" style="91" customWidth="1"/>
    <col min="16130" max="16130" width="0.140625" style="91" customWidth="1"/>
    <col min="16131" max="16131" width="7.42578125" style="91" customWidth="1"/>
    <col min="16132" max="16132" width="1.28515625" style="91" customWidth="1"/>
    <col min="16133" max="16133" width="6.5703125" style="91" customWidth="1"/>
    <col min="16134" max="16134" width="17" style="91" customWidth="1"/>
    <col min="16135" max="16135" width="7.7109375" style="91" customWidth="1"/>
    <col min="16136" max="16136" width="11.85546875" style="91" customWidth="1"/>
    <col min="16137" max="16137" width="8.28515625" style="91" customWidth="1"/>
    <col min="16138" max="16138" width="8.85546875" style="91" customWidth="1"/>
    <col min="16139" max="16139" width="8.42578125" style="91" customWidth="1"/>
    <col min="16140" max="16140" width="9.7109375" style="91" customWidth="1"/>
    <col min="16141" max="16141" width="10.42578125" style="91" customWidth="1"/>
    <col min="16142" max="16142" width="9.5703125" style="91" customWidth="1"/>
    <col min="16143" max="16143" width="9.85546875" style="91" customWidth="1"/>
    <col min="16144" max="16144" width="8" style="91" customWidth="1"/>
    <col min="16145" max="16145" width="8.140625" style="91" customWidth="1"/>
    <col min="16146" max="16146" width="8.28515625" style="91" customWidth="1"/>
    <col min="16147" max="16147" width="9.42578125" style="91" customWidth="1"/>
    <col min="16148" max="16148" width="11.85546875" style="91" customWidth="1"/>
    <col min="16149" max="16384" width="9.140625" style="91"/>
  </cols>
  <sheetData>
    <row r="1" spans="1:21" s="956" customFormat="1" ht="12">
      <c r="A1" s="955"/>
      <c r="B1" s="955"/>
      <c r="C1" s="444"/>
      <c r="D1" s="955"/>
      <c r="E1" s="955"/>
      <c r="F1" s="955"/>
      <c r="G1" s="955"/>
      <c r="H1" s="955"/>
      <c r="I1" s="955"/>
      <c r="J1" s="955"/>
      <c r="K1" s="955"/>
      <c r="L1" s="955"/>
      <c r="M1" s="955"/>
      <c r="N1" s="955"/>
      <c r="O1" s="955"/>
      <c r="P1" s="955"/>
      <c r="Q1" s="955"/>
      <c r="R1" s="955"/>
      <c r="S1" s="955"/>
      <c r="T1" s="955"/>
    </row>
    <row r="2" spans="1:21" s="956" customFormat="1" ht="18" customHeight="1">
      <c r="A2" s="955"/>
      <c r="B2" s="955"/>
      <c r="C2" s="1275" t="s">
        <v>138</v>
      </c>
      <c r="D2" s="1275"/>
      <c r="E2" s="1275"/>
      <c r="F2" s="1275"/>
      <c r="G2" s="1275"/>
      <c r="H2" s="1275"/>
      <c r="I2" s="1275"/>
      <c r="J2" s="1275"/>
      <c r="K2" s="1275"/>
      <c r="L2" s="1275"/>
      <c r="M2" s="1275"/>
      <c r="N2" s="1275"/>
      <c r="O2" s="1275"/>
      <c r="P2" s="1275"/>
      <c r="Q2" s="1275"/>
      <c r="R2" s="1275"/>
      <c r="S2" s="1275"/>
      <c r="T2" s="955"/>
    </row>
    <row r="3" spans="1:21" s="956" customFormat="1" ht="21" customHeight="1">
      <c r="A3" s="955"/>
      <c r="B3" s="955"/>
      <c r="C3" s="1276" t="s">
        <v>196</v>
      </c>
      <c r="D3" s="1276"/>
      <c r="E3" s="1276"/>
      <c r="F3" s="1276"/>
      <c r="G3" s="1276"/>
      <c r="H3" s="1276"/>
      <c r="I3" s="1276"/>
      <c r="J3" s="1276"/>
      <c r="K3" s="1276"/>
      <c r="L3" s="1276"/>
      <c r="M3" s="1276"/>
      <c r="N3" s="1276"/>
      <c r="O3" s="1276"/>
      <c r="P3" s="1276"/>
      <c r="Q3" s="1276"/>
      <c r="R3" s="1276"/>
      <c r="S3" s="1276"/>
      <c r="T3" s="1276"/>
    </row>
    <row r="4" spans="1:21" s="956" customFormat="1" ht="21" customHeight="1">
      <c r="A4" s="955"/>
      <c r="B4" s="95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 t="s">
        <v>811</v>
      </c>
      <c r="T4" s="445"/>
    </row>
    <row r="5" spans="1:21" ht="15" customHeight="1">
      <c r="A5" s="1273"/>
      <c r="B5" s="1273"/>
      <c r="C5" s="1277" t="s">
        <v>63</v>
      </c>
      <c r="D5" s="1277" t="s">
        <v>25</v>
      </c>
      <c r="E5" s="1277"/>
      <c r="F5" s="1277" t="s">
        <v>96</v>
      </c>
      <c r="G5" s="1277" t="s">
        <v>64</v>
      </c>
      <c r="H5" s="1277" t="s">
        <v>65</v>
      </c>
      <c r="I5" s="1277" t="s">
        <v>6</v>
      </c>
      <c r="J5" s="1277" t="s">
        <v>66</v>
      </c>
      <c r="K5" s="1278" t="s">
        <v>67</v>
      </c>
      <c r="L5" s="1278"/>
      <c r="M5" s="1278"/>
      <c r="N5" s="1278"/>
      <c r="O5" s="1278"/>
      <c r="P5" s="1278"/>
      <c r="Q5" s="1278"/>
      <c r="R5" s="1278"/>
      <c r="S5" s="1278"/>
      <c r="T5" s="1278"/>
    </row>
    <row r="6" spans="1:21" ht="15" customHeight="1">
      <c r="A6" s="1273"/>
      <c r="B6" s="1273"/>
      <c r="C6" s="1277"/>
      <c r="D6" s="1277"/>
      <c r="E6" s="1277"/>
      <c r="F6" s="1277"/>
      <c r="G6" s="1277"/>
      <c r="H6" s="1277"/>
      <c r="I6" s="1277"/>
      <c r="J6" s="1277"/>
      <c r="K6" s="98" t="s">
        <v>49</v>
      </c>
      <c r="L6" s="98" t="s">
        <v>51</v>
      </c>
      <c r="M6" s="98" t="s">
        <v>34</v>
      </c>
      <c r="N6" s="98" t="s">
        <v>36</v>
      </c>
      <c r="O6" s="98" t="s">
        <v>38</v>
      </c>
      <c r="P6" s="98" t="s">
        <v>40</v>
      </c>
      <c r="Q6" s="98" t="s">
        <v>42</v>
      </c>
      <c r="R6" s="98" t="s">
        <v>44</v>
      </c>
      <c r="S6" s="98" t="s">
        <v>46</v>
      </c>
      <c r="T6" s="98" t="s">
        <v>68</v>
      </c>
    </row>
    <row r="7" spans="1:21" ht="51" customHeight="1">
      <c r="A7" s="89"/>
      <c r="B7" s="89"/>
      <c r="C7" s="1277"/>
      <c r="D7" s="1277"/>
      <c r="E7" s="1277"/>
      <c r="F7" s="1277"/>
      <c r="G7" s="1277"/>
      <c r="H7" s="1277"/>
      <c r="I7" s="99" t="s">
        <v>69</v>
      </c>
      <c r="J7" s="1277"/>
      <c r="K7" s="100" t="s">
        <v>139</v>
      </c>
      <c r="L7" s="100" t="s">
        <v>140</v>
      </c>
      <c r="M7" s="100" t="s">
        <v>72</v>
      </c>
      <c r="N7" s="100" t="s">
        <v>141</v>
      </c>
      <c r="O7" s="100" t="s">
        <v>142</v>
      </c>
      <c r="P7" s="100" t="s">
        <v>143</v>
      </c>
      <c r="Q7" s="100" t="s">
        <v>144</v>
      </c>
      <c r="R7" s="100" t="s">
        <v>145</v>
      </c>
      <c r="S7" s="100" t="s">
        <v>78</v>
      </c>
      <c r="T7" s="99" t="s">
        <v>68</v>
      </c>
    </row>
    <row r="8" spans="1:21" ht="25.5" customHeight="1">
      <c r="A8" s="89"/>
      <c r="B8" s="89"/>
      <c r="C8" s="101" t="s">
        <v>221</v>
      </c>
      <c r="D8" s="1274" t="s">
        <v>188</v>
      </c>
      <c r="E8" s="1274"/>
      <c r="F8" s="102" t="s">
        <v>189</v>
      </c>
      <c r="G8" s="101" t="s">
        <v>79</v>
      </c>
      <c r="H8" s="102" t="s">
        <v>80</v>
      </c>
      <c r="I8" s="101">
        <v>2025</v>
      </c>
      <c r="J8" s="102" t="s">
        <v>81</v>
      </c>
      <c r="K8" s="103">
        <v>0</v>
      </c>
      <c r="L8" s="103">
        <v>500000000</v>
      </c>
      <c r="M8" s="103">
        <v>510836000</v>
      </c>
      <c r="N8" s="103">
        <v>95000000</v>
      </c>
      <c r="O8" s="103">
        <v>798164000</v>
      </c>
      <c r="P8" s="103">
        <v>0</v>
      </c>
      <c r="Q8" s="103">
        <v>0</v>
      </c>
      <c r="R8" s="103">
        <v>0</v>
      </c>
      <c r="S8" s="104">
        <v>2000000</v>
      </c>
      <c r="T8" s="103">
        <f t="shared" ref="T8:T12" si="0">SUM(L8:S8)</f>
        <v>1906000000</v>
      </c>
    </row>
    <row r="9" spans="1:21" ht="25.5" customHeight="1">
      <c r="A9" s="89"/>
      <c r="B9" s="89"/>
      <c r="C9" s="101" t="s">
        <v>221</v>
      </c>
      <c r="D9" s="1274" t="s">
        <v>188</v>
      </c>
      <c r="E9" s="1274"/>
      <c r="F9" s="102" t="s">
        <v>189</v>
      </c>
      <c r="G9" s="101" t="s">
        <v>79</v>
      </c>
      <c r="H9" s="102" t="s">
        <v>80</v>
      </c>
      <c r="I9" s="101">
        <v>2025</v>
      </c>
      <c r="J9" s="102" t="s">
        <v>82</v>
      </c>
      <c r="K9" s="103">
        <v>0</v>
      </c>
      <c r="L9" s="103">
        <v>197000000</v>
      </c>
      <c r="M9" s="103">
        <v>702836000</v>
      </c>
      <c r="N9" s="103">
        <v>117000000</v>
      </c>
      <c r="O9" s="103">
        <v>898164000</v>
      </c>
      <c r="P9" s="103">
        <v>0</v>
      </c>
      <c r="Q9" s="103">
        <v>0</v>
      </c>
      <c r="R9" s="103">
        <v>0</v>
      </c>
      <c r="S9" s="104">
        <v>4439960</v>
      </c>
      <c r="T9" s="103">
        <f t="shared" si="0"/>
        <v>1919439960</v>
      </c>
    </row>
    <row r="10" spans="1:21" ht="25.5" customHeight="1">
      <c r="A10" s="89"/>
      <c r="B10" s="89"/>
      <c r="C10" s="101" t="s">
        <v>221</v>
      </c>
      <c r="D10" s="1274" t="s">
        <v>188</v>
      </c>
      <c r="E10" s="1274"/>
      <c r="F10" s="102" t="s">
        <v>189</v>
      </c>
      <c r="G10" s="101" t="s">
        <v>79</v>
      </c>
      <c r="H10" s="102" t="s">
        <v>80</v>
      </c>
      <c r="I10" s="101">
        <v>2025</v>
      </c>
      <c r="J10" s="102" t="s">
        <v>83</v>
      </c>
      <c r="K10" s="103">
        <v>0</v>
      </c>
      <c r="L10" s="103">
        <v>193284800</v>
      </c>
      <c r="M10" s="103">
        <v>695375308</v>
      </c>
      <c r="N10" s="103">
        <v>114015591</v>
      </c>
      <c r="O10" s="103">
        <v>895915200</v>
      </c>
      <c r="P10" s="103">
        <v>0</v>
      </c>
      <c r="Q10" s="103">
        <v>0</v>
      </c>
      <c r="R10" s="103">
        <v>0</v>
      </c>
      <c r="S10" s="104">
        <v>4406131</v>
      </c>
      <c r="T10" s="103">
        <f t="shared" si="0"/>
        <v>1902997030</v>
      </c>
    </row>
    <row r="11" spans="1:21" ht="25.5" customHeight="1">
      <c r="A11" s="89"/>
      <c r="B11" s="89"/>
      <c r="C11" s="101" t="s">
        <v>221</v>
      </c>
      <c r="D11" s="1274" t="s">
        <v>188</v>
      </c>
      <c r="E11" s="1274"/>
      <c r="F11" s="102" t="s">
        <v>189</v>
      </c>
      <c r="G11" s="101" t="s">
        <v>79</v>
      </c>
      <c r="H11" s="102" t="s">
        <v>80</v>
      </c>
      <c r="I11" s="101">
        <v>2025</v>
      </c>
      <c r="J11" s="102" t="s">
        <v>84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3">
        <v>0</v>
      </c>
      <c r="Q11" s="103">
        <v>0</v>
      </c>
      <c r="R11" s="103">
        <v>0</v>
      </c>
      <c r="S11" s="104">
        <v>0</v>
      </c>
      <c r="T11" s="103">
        <f t="shared" si="0"/>
        <v>0</v>
      </c>
    </row>
    <row r="12" spans="1:21" ht="25.5" customHeight="1">
      <c r="A12" s="89"/>
      <c r="B12" s="89"/>
      <c r="C12" s="101" t="s">
        <v>221</v>
      </c>
      <c r="D12" s="1274" t="s">
        <v>188</v>
      </c>
      <c r="E12" s="1274"/>
      <c r="F12" s="102" t="s">
        <v>189</v>
      </c>
      <c r="G12" s="101"/>
      <c r="H12" s="102" t="s">
        <v>68</v>
      </c>
      <c r="I12" s="101">
        <v>2025</v>
      </c>
      <c r="J12" s="102" t="s">
        <v>81</v>
      </c>
      <c r="K12" s="103">
        <v>0</v>
      </c>
      <c r="L12" s="103">
        <v>500000000</v>
      </c>
      <c r="M12" s="103">
        <v>510836000</v>
      </c>
      <c r="N12" s="103">
        <v>95000000</v>
      </c>
      <c r="O12" s="103">
        <v>798164000</v>
      </c>
      <c r="P12" s="103">
        <v>0</v>
      </c>
      <c r="Q12" s="103">
        <v>0</v>
      </c>
      <c r="R12" s="103">
        <v>0</v>
      </c>
      <c r="S12" s="104">
        <v>2000000</v>
      </c>
      <c r="T12" s="103">
        <f t="shared" si="0"/>
        <v>1906000000</v>
      </c>
      <c r="U12" s="123"/>
    </row>
    <row r="13" spans="1:21" ht="25.5" customHeight="1">
      <c r="A13" s="89"/>
      <c r="B13" s="89"/>
      <c r="C13" s="101" t="s">
        <v>221</v>
      </c>
      <c r="D13" s="1274" t="s">
        <v>188</v>
      </c>
      <c r="E13" s="1274"/>
      <c r="F13" s="102" t="s">
        <v>189</v>
      </c>
      <c r="G13" s="101"/>
      <c r="H13" s="102" t="s">
        <v>68</v>
      </c>
      <c r="I13" s="101">
        <v>2025</v>
      </c>
      <c r="J13" s="102" t="s">
        <v>82</v>
      </c>
      <c r="K13" s="103">
        <v>0</v>
      </c>
      <c r="L13" s="103">
        <v>197000000</v>
      </c>
      <c r="M13" s="103">
        <v>702836000</v>
      </c>
      <c r="N13" s="103">
        <v>117000000</v>
      </c>
      <c r="O13" s="103">
        <v>898164000</v>
      </c>
      <c r="P13" s="103">
        <v>0</v>
      </c>
      <c r="Q13" s="103">
        <v>0</v>
      </c>
      <c r="R13" s="103">
        <v>0</v>
      </c>
      <c r="S13" s="104">
        <v>4439960</v>
      </c>
      <c r="T13" s="103">
        <f>SUM(L13:S13)</f>
        <v>1919439960</v>
      </c>
      <c r="U13" s="123"/>
    </row>
    <row r="14" spans="1:21" ht="25.5" customHeight="1">
      <c r="A14" s="89"/>
      <c r="B14" s="89"/>
      <c r="C14" s="101" t="s">
        <v>221</v>
      </c>
      <c r="D14" s="1274" t="s">
        <v>188</v>
      </c>
      <c r="E14" s="1274"/>
      <c r="F14" s="102" t="s">
        <v>189</v>
      </c>
      <c r="G14" s="101"/>
      <c r="H14" s="102" t="s">
        <v>68</v>
      </c>
      <c r="I14" s="101">
        <v>2025</v>
      </c>
      <c r="J14" s="102" t="s">
        <v>83</v>
      </c>
      <c r="K14" s="103">
        <v>0</v>
      </c>
      <c r="L14" s="103">
        <v>193284800</v>
      </c>
      <c r="M14" s="103">
        <v>695375308</v>
      </c>
      <c r="N14" s="103">
        <v>114015591</v>
      </c>
      <c r="O14" s="103">
        <v>895915200</v>
      </c>
      <c r="P14" s="103">
        <v>0</v>
      </c>
      <c r="Q14" s="103">
        <v>0</v>
      </c>
      <c r="R14" s="103">
        <v>0</v>
      </c>
      <c r="S14" s="104">
        <v>4406131</v>
      </c>
      <c r="T14" s="103">
        <f>SUM(L14:S14)</f>
        <v>1902997030</v>
      </c>
      <c r="U14" s="123"/>
    </row>
    <row r="15" spans="1:21" ht="25.5" customHeight="1">
      <c r="A15" s="89"/>
      <c r="B15" s="89"/>
      <c r="C15" s="101" t="s">
        <v>221</v>
      </c>
      <c r="D15" s="1274" t="s">
        <v>188</v>
      </c>
      <c r="E15" s="1274"/>
      <c r="F15" s="102" t="s">
        <v>189</v>
      </c>
      <c r="G15" s="101"/>
      <c r="H15" s="102" t="s">
        <v>68</v>
      </c>
      <c r="I15" s="101">
        <v>2025</v>
      </c>
      <c r="J15" s="102" t="s">
        <v>84</v>
      </c>
      <c r="K15" s="103">
        <v>0</v>
      </c>
      <c r="L15" s="103">
        <v>0</v>
      </c>
      <c r="M15" s="103">
        <v>0</v>
      </c>
      <c r="N15" s="103">
        <v>0</v>
      </c>
      <c r="O15" s="103">
        <v>0</v>
      </c>
      <c r="P15" s="103">
        <v>0</v>
      </c>
      <c r="Q15" s="103">
        <v>0</v>
      </c>
      <c r="R15" s="103">
        <v>0</v>
      </c>
      <c r="S15" s="104">
        <v>0</v>
      </c>
      <c r="T15" s="103">
        <f>SUM(L15:S15)</f>
        <v>0</v>
      </c>
    </row>
    <row r="16" spans="1:21" ht="25.5" customHeight="1">
      <c r="A16" s="89"/>
      <c r="B16" s="89"/>
      <c r="C16" s="101" t="s">
        <v>221</v>
      </c>
      <c r="D16" s="1274" t="s">
        <v>188</v>
      </c>
      <c r="E16" s="1274"/>
      <c r="F16" s="102" t="s">
        <v>89</v>
      </c>
      <c r="G16" s="101"/>
      <c r="H16" s="102"/>
      <c r="I16" s="101">
        <v>2025</v>
      </c>
      <c r="J16" s="105"/>
      <c r="K16" s="103">
        <v>0</v>
      </c>
      <c r="L16" s="103">
        <f>L13-L14</f>
        <v>3715200</v>
      </c>
      <c r="M16" s="103">
        <f t="shared" ref="M16:S16" si="1">M13-M14</f>
        <v>7460692</v>
      </c>
      <c r="N16" s="103">
        <f t="shared" si="1"/>
        <v>2984409</v>
      </c>
      <c r="O16" s="103">
        <f t="shared" si="1"/>
        <v>2248800</v>
      </c>
      <c r="P16" s="103">
        <f t="shared" si="1"/>
        <v>0</v>
      </c>
      <c r="Q16" s="103">
        <f t="shared" si="1"/>
        <v>0</v>
      </c>
      <c r="R16" s="103">
        <f t="shared" si="1"/>
        <v>0</v>
      </c>
      <c r="S16" s="103">
        <f t="shared" si="1"/>
        <v>33829</v>
      </c>
      <c r="T16" s="103">
        <f>SUM(L16:S16)</f>
        <v>16442930</v>
      </c>
    </row>
    <row r="17" spans="1:20" ht="25.5" customHeight="1">
      <c r="A17" s="89"/>
      <c r="B17" s="89"/>
      <c r="C17" s="101" t="s">
        <v>221</v>
      </c>
      <c r="D17" s="1274" t="s">
        <v>188</v>
      </c>
      <c r="E17" s="1274"/>
      <c r="F17" s="102" t="s">
        <v>90</v>
      </c>
      <c r="G17" s="101"/>
      <c r="H17" s="102"/>
      <c r="I17" s="101">
        <v>2025</v>
      </c>
      <c r="J17" s="105"/>
      <c r="K17" s="103">
        <v>0</v>
      </c>
      <c r="L17" s="106">
        <f>(L14/L13)*100</f>
        <v>98.114111675126907</v>
      </c>
      <c r="M17" s="106">
        <f t="shared" ref="M17:T17" si="2">(M14/M13)*100</f>
        <v>98.938487499217459</v>
      </c>
      <c r="N17" s="106">
        <f t="shared" si="2"/>
        <v>97.449223076923076</v>
      </c>
      <c r="O17" s="106">
        <f t="shared" si="2"/>
        <v>99.749622563362593</v>
      </c>
      <c r="P17" s="106"/>
      <c r="Q17" s="106"/>
      <c r="R17" s="106"/>
      <c r="S17" s="106">
        <f t="shared" si="2"/>
        <v>99.238078721429929</v>
      </c>
      <c r="T17" s="106">
        <f t="shared" si="2"/>
        <v>99.143347521013368</v>
      </c>
    </row>
    <row r="18" spans="1:20" ht="25.5" customHeight="1">
      <c r="A18" s="89"/>
      <c r="B18" s="89"/>
      <c r="C18" s="101" t="s">
        <v>221</v>
      </c>
      <c r="D18" s="1274" t="s">
        <v>188</v>
      </c>
      <c r="E18" s="1274"/>
      <c r="F18" s="102" t="s">
        <v>108</v>
      </c>
      <c r="G18" s="101" t="s">
        <v>91</v>
      </c>
      <c r="H18" s="102"/>
      <c r="I18" s="101">
        <v>2025</v>
      </c>
      <c r="J18" s="105" t="s">
        <v>83</v>
      </c>
      <c r="K18" s="103">
        <v>0</v>
      </c>
      <c r="L18" s="103"/>
      <c r="M18" s="103"/>
      <c r="N18" s="103"/>
      <c r="O18" s="103"/>
      <c r="P18" s="103">
        <v>0</v>
      </c>
      <c r="Q18" s="103">
        <v>0</v>
      </c>
      <c r="R18" s="103">
        <v>0</v>
      </c>
      <c r="S18" s="104">
        <v>0</v>
      </c>
      <c r="T18" s="103">
        <f>SUM(L18:S18)</f>
        <v>0</v>
      </c>
    </row>
    <row r="19" spans="1:20" ht="15" customHeight="1">
      <c r="A19" s="89"/>
      <c r="B19" s="1272"/>
      <c r="C19" s="1272"/>
      <c r="D19" s="1272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</row>
  </sheetData>
  <mergeCells count="23">
    <mergeCell ref="C2:S2"/>
    <mergeCell ref="C3:T3"/>
    <mergeCell ref="D18:E18"/>
    <mergeCell ref="I5:I6"/>
    <mergeCell ref="J5:J7"/>
    <mergeCell ref="K5:T5"/>
    <mergeCell ref="C5:C7"/>
    <mergeCell ref="D5:E7"/>
    <mergeCell ref="F5:F7"/>
    <mergeCell ref="G5:G7"/>
    <mergeCell ref="H5:H7"/>
    <mergeCell ref="D13:E13"/>
    <mergeCell ref="D17:E17"/>
    <mergeCell ref="D15:E15"/>
    <mergeCell ref="D16:E16"/>
    <mergeCell ref="D14:E14"/>
    <mergeCell ref="B19:D19"/>
    <mergeCell ref="A5:B6"/>
    <mergeCell ref="D8:E8"/>
    <mergeCell ref="D9:E9"/>
    <mergeCell ref="D10:E10"/>
    <mergeCell ref="D12:E12"/>
    <mergeCell ref="D11:E1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8"/>
  <sheetViews>
    <sheetView workbookViewId="0">
      <selection activeCell="Z24" sqref="Z24:Z25"/>
    </sheetView>
  </sheetViews>
  <sheetFormatPr defaultRowHeight="11.25"/>
  <cols>
    <col min="1" max="1" width="3.28515625" style="38" customWidth="1"/>
    <col min="2" max="2" width="0.140625" style="38" customWidth="1"/>
    <col min="3" max="3" width="9" style="38" customWidth="1"/>
    <col min="4" max="4" width="1.28515625" style="38" customWidth="1"/>
    <col min="5" max="5" width="11.5703125" style="38" customWidth="1"/>
    <col min="6" max="6" width="24.7109375" style="38" customWidth="1"/>
    <col min="7" max="7" width="5.7109375" style="38" customWidth="1"/>
    <col min="8" max="8" width="10.7109375" style="38" customWidth="1"/>
    <col min="9" max="9" width="8.85546875" style="38" customWidth="1"/>
    <col min="10" max="10" width="13.28515625" style="38" customWidth="1"/>
    <col min="11" max="11" width="8.85546875" style="38" customWidth="1"/>
    <col min="12" max="12" width="13.28515625" style="38" customWidth="1"/>
    <col min="13" max="13" width="14.140625" style="38" customWidth="1"/>
    <col min="14" max="14" width="13.140625" style="38" customWidth="1"/>
    <col min="15" max="15" width="12.5703125" style="38" customWidth="1"/>
    <col min="16" max="16" width="5.85546875" style="38" customWidth="1"/>
    <col min="17" max="17" width="10.42578125" style="38" customWidth="1"/>
    <col min="18" max="18" width="8" style="38" customWidth="1"/>
    <col min="19" max="19" width="12.5703125" style="38" customWidth="1"/>
    <col min="20" max="20" width="0.5703125" style="38" hidden="1" customWidth="1"/>
    <col min="21" max="21" width="14.42578125" style="38" customWidth="1"/>
    <col min="22" max="16384" width="9.140625" style="38"/>
  </cols>
  <sheetData>
    <row r="1" spans="1:22">
      <c r="A1" s="124"/>
      <c r="B1" s="124"/>
      <c r="C1" s="850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</row>
    <row r="2" spans="1:22">
      <c r="A2" s="124"/>
      <c r="B2" s="124"/>
      <c r="C2" s="1282" t="s">
        <v>138</v>
      </c>
      <c r="D2" s="1282"/>
      <c r="E2" s="1282"/>
      <c r="F2" s="1282"/>
      <c r="G2" s="1282"/>
      <c r="H2" s="1282"/>
      <c r="I2" s="1282"/>
      <c r="J2" s="1282"/>
      <c r="K2" s="1282"/>
      <c r="L2" s="1282"/>
      <c r="M2" s="1282"/>
      <c r="N2" s="1282"/>
      <c r="O2" s="1282"/>
      <c r="P2" s="1282"/>
      <c r="Q2" s="1282"/>
      <c r="R2" s="1282"/>
      <c r="S2" s="1282"/>
      <c r="T2" s="124"/>
      <c r="U2" s="124"/>
    </row>
    <row r="3" spans="1:22">
      <c r="A3" s="124"/>
      <c r="B3" s="124"/>
      <c r="C3" s="1286" t="s">
        <v>196</v>
      </c>
      <c r="D3" s="1286"/>
      <c r="E3" s="1286"/>
      <c r="F3" s="1286"/>
      <c r="G3" s="1286"/>
      <c r="H3" s="1286"/>
      <c r="I3" s="1286"/>
      <c r="J3" s="1286"/>
      <c r="K3" s="1286"/>
      <c r="L3" s="1286"/>
      <c r="M3" s="1286"/>
      <c r="N3" s="1286"/>
      <c r="O3" s="1286"/>
      <c r="P3" s="1286"/>
      <c r="Q3" s="1286"/>
      <c r="R3" s="1286"/>
      <c r="S3" s="1286"/>
      <c r="T3" s="1286"/>
      <c r="U3" s="1286"/>
    </row>
    <row r="4" spans="1:22" ht="12" thickBot="1">
      <c r="A4" s="124"/>
      <c r="B4" s="124"/>
      <c r="C4" s="966"/>
      <c r="D4" s="966"/>
      <c r="E4" s="966"/>
      <c r="F4" s="966"/>
      <c r="G4" s="966"/>
      <c r="H4" s="966"/>
      <c r="I4" s="966"/>
      <c r="J4" s="966"/>
      <c r="K4" s="966"/>
      <c r="L4" s="966"/>
      <c r="M4" s="966"/>
      <c r="N4" s="966"/>
      <c r="O4" s="966"/>
      <c r="P4" s="966"/>
      <c r="Q4" s="966"/>
      <c r="R4" s="966"/>
      <c r="S4" s="966" t="s">
        <v>811</v>
      </c>
      <c r="T4" s="966"/>
      <c r="U4" s="966"/>
    </row>
    <row r="5" spans="1:22" ht="12.75" customHeight="1" thickTop="1" thickBot="1">
      <c r="A5" s="1283"/>
      <c r="B5" s="1283"/>
      <c r="C5" s="1284" t="s">
        <v>63</v>
      </c>
      <c r="D5" s="1285" t="s">
        <v>25</v>
      </c>
      <c r="E5" s="1285"/>
      <c r="F5" s="1285" t="s">
        <v>96</v>
      </c>
      <c r="G5" s="1285" t="s">
        <v>64</v>
      </c>
      <c r="H5" s="1285" t="s">
        <v>65</v>
      </c>
      <c r="I5" s="1285" t="s">
        <v>6</v>
      </c>
      <c r="J5" s="1285" t="s">
        <v>66</v>
      </c>
      <c r="K5" s="1287" t="s">
        <v>67</v>
      </c>
      <c r="L5" s="1287"/>
      <c r="M5" s="1287"/>
      <c r="N5" s="1287"/>
      <c r="O5" s="1287"/>
      <c r="P5" s="1287"/>
      <c r="Q5" s="1287"/>
      <c r="R5" s="1287"/>
      <c r="S5" s="1287"/>
      <c r="T5" s="1287"/>
      <c r="U5" s="1287"/>
    </row>
    <row r="6" spans="1:22" ht="12.75" thickTop="1" thickBot="1">
      <c r="A6" s="1283"/>
      <c r="B6" s="1283"/>
      <c r="C6" s="1284"/>
      <c r="D6" s="1285"/>
      <c r="E6" s="1285"/>
      <c r="F6" s="1285"/>
      <c r="G6" s="1285"/>
      <c r="H6" s="1285"/>
      <c r="I6" s="1285"/>
      <c r="J6" s="1285"/>
      <c r="K6" s="851" t="s">
        <v>49</v>
      </c>
      <c r="L6" s="851" t="s">
        <v>51</v>
      </c>
      <c r="M6" s="851" t="s">
        <v>34</v>
      </c>
      <c r="N6" s="851" t="s">
        <v>36</v>
      </c>
      <c r="O6" s="851" t="s">
        <v>38</v>
      </c>
      <c r="P6" s="851" t="s">
        <v>40</v>
      </c>
      <c r="Q6" s="851" t="s">
        <v>42</v>
      </c>
      <c r="R6" s="851" t="s">
        <v>44</v>
      </c>
      <c r="S6" s="1288" t="s">
        <v>46</v>
      </c>
      <c r="T6" s="1288"/>
      <c r="U6" s="852" t="s">
        <v>68</v>
      </c>
    </row>
    <row r="7" spans="1:22" ht="45.75" customHeight="1" thickTop="1">
      <c r="A7" s="124"/>
      <c r="B7" s="124"/>
      <c r="C7" s="1284"/>
      <c r="D7" s="1285"/>
      <c r="E7" s="1285"/>
      <c r="F7" s="1285"/>
      <c r="G7" s="1285"/>
      <c r="H7" s="1285"/>
      <c r="I7" s="853" t="s">
        <v>69</v>
      </c>
      <c r="J7" s="1285"/>
      <c r="K7" s="854" t="s">
        <v>139</v>
      </c>
      <c r="L7" s="854" t="s">
        <v>140</v>
      </c>
      <c r="M7" s="854" t="s">
        <v>72</v>
      </c>
      <c r="N7" s="854" t="s">
        <v>141</v>
      </c>
      <c r="O7" s="854" t="s">
        <v>142</v>
      </c>
      <c r="P7" s="854" t="s">
        <v>143</v>
      </c>
      <c r="Q7" s="854" t="s">
        <v>429</v>
      </c>
      <c r="R7" s="854" t="s">
        <v>145</v>
      </c>
      <c r="S7" s="1289" t="s">
        <v>78</v>
      </c>
      <c r="T7" s="1289"/>
      <c r="U7" s="855" t="s">
        <v>68</v>
      </c>
    </row>
    <row r="8" spans="1:22">
      <c r="A8" s="124"/>
      <c r="B8" s="124"/>
      <c r="C8" s="856" t="s">
        <v>221</v>
      </c>
      <c r="D8" s="1281" t="s">
        <v>190</v>
      </c>
      <c r="E8" s="1281"/>
      <c r="F8" s="825" t="s">
        <v>191</v>
      </c>
      <c r="G8" s="857" t="s">
        <v>79</v>
      </c>
      <c r="H8" s="858" t="s">
        <v>80</v>
      </c>
      <c r="I8" s="857">
        <v>2025</v>
      </c>
      <c r="J8" s="825" t="s">
        <v>81</v>
      </c>
      <c r="K8" s="859">
        <v>0</v>
      </c>
      <c r="L8" s="859">
        <v>557000000</v>
      </c>
      <c r="M8" s="859">
        <v>549000000</v>
      </c>
      <c r="N8" s="859">
        <v>100000000</v>
      </c>
      <c r="O8" s="859">
        <v>81000000</v>
      </c>
      <c r="P8" s="859">
        <v>0</v>
      </c>
      <c r="Q8" s="859">
        <v>0</v>
      </c>
      <c r="R8" s="859">
        <v>0</v>
      </c>
      <c r="S8" s="1290">
        <v>140000000</v>
      </c>
      <c r="T8" s="1290"/>
      <c r="U8" s="860">
        <f>SUM(K8:T8)</f>
        <v>1427000000</v>
      </c>
    </row>
    <row r="9" spans="1:22">
      <c r="A9" s="124"/>
      <c r="B9" s="124"/>
      <c r="C9" s="856" t="s">
        <v>221</v>
      </c>
      <c r="D9" s="1281" t="s">
        <v>190</v>
      </c>
      <c r="E9" s="1281"/>
      <c r="F9" s="825" t="s">
        <v>191</v>
      </c>
      <c r="G9" s="857" t="s">
        <v>79</v>
      </c>
      <c r="H9" s="858" t="s">
        <v>80</v>
      </c>
      <c r="I9" s="857">
        <v>2025</v>
      </c>
      <c r="J9" s="825" t="s">
        <v>82</v>
      </c>
      <c r="K9" s="859">
        <v>0</v>
      </c>
      <c r="L9" s="859">
        <v>462031000</v>
      </c>
      <c r="M9" s="859">
        <v>503290000</v>
      </c>
      <c r="N9" s="859">
        <v>119700000</v>
      </c>
      <c r="O9" s="859">
        <v>107510000</v>
      </c>
      <c r="P9" s="859">
        <v>0</v>
      </c>
      <c r="Q9" s="859">
        <v>0</v>
      </c>
      <c r="R9" s="859">
        <v>0</v>
      </c>
      <c r="S9" s="1290">
        <v>259270855</v>
      </c>
      <c r="T9" s="1290"/>
      <c r="U9" s="860">
        <f t="shared" ref="U9:U16" si="0">SUM(K9:T9)</f>
        <v>1451801855</v>
      </c>
    </row>
    <row r="10" spans="1:22">
      <c r="A10" s="124"/>
      <c r="B10" s="124"/>
      <c r="C10" s="856" t="s">
        <v>221</v>
      </c>
      <c r="D10" s="1281" t="s">
        <v>190</v>
      </c>
      <c r="E10" s="1281"/>
      <c r="F10" s="825" t="s">
        <v>191</v>
      </c>
      <c r="G10" s="857" t="s">
        <v>79</v>
      </c>
      <c r="H10" s="858" t="s">
        <v>80</v>
      </c>
      <c r="I10" s="857">
        <v>2025</v>
      </c>
      <c r="J10" s="825" t="s">
        <v>83</v>
      </c>
      <c r="K10" s="859">
        <v>0</v>
      </c>
      <c r="L10" s="859">
        <v>396904849</v>
      </c>
      <c r="M10" s="859">
        <v>478323136</v>
      </c>
      <c r="N10" s="859">
        <v>117426725</v>
      </c>
      <c r="O10" s="859">
        <v>100983829</v>
      </c>
      <c r="P10" s="859">
        <v>0</v>
      </c>
      <c r="Q10" s="859">
        <v>0</v>
      </c>
      <c r="R10" s="859">
        <v>0</v>
      </c>
      <c r="S10" s="1290">
        <v>249232267</v>
      </c>
      <c r="T10" s="1290"/>
      <c r="U10" s="860">
        <f>SUM(K10:T10)</f>
        <v>1342870806</v>
      </c>
    </row>
    <row r="11" spans="1:22">
      <c r="A11" s="124"/>
      <c r="B11" s="124"/>
      <c r="C11" s="856" t="s">
        <v>221</v>
      </c>
      <c r="D11" s="1281" t="s">
        <v>190</v>
      </c>
      <c r="E11" s="1281"/>
      <c r="F11" s="825" t="s">
        <v>191</v>
      </c>
      <c r="G11" s="857" t="s">
        <v>79</v>
      </c>
      <c r="H11" s="858" t="s">
        <v>80</v>
      </c>
      <c r="I11" s="857">
        <v>2025</v>
      </c>
      <c r="J11" s="825" t="s">
        <v>84</v>
      </c>
      <c r="K11" s="859">
        <v>0</v>
      </c>
      <c r="L11" s="859"/>
      <c r="M11" s="859"/>
      <c r="N11" s="859"/>
      <c r="O11" s="859"/>
      <c r="P11" s="859"/>
      <c r="Q11" s="859"/>
      <c r="R11" s="859"/>
      <c r="S11" s="1290"/>
      <c r="T11" s="1290"/>
      <c r="U11" s="860"/>
    </row>
    <row r="12" spans="1:22" ht="16.5" customHeight="1">
      <c r="A12" s="124"/>
      <c r="B12" s="124"/>
      <c r="C12" s="856" t="s">
        <v>221</v>
      </c>
      <c r="D12" s="1281" t="s">
        <v>190</v>
      </c>
      <c r="E12" s="1281"/>
      <c r="F12" s="825" t="s">
        <v>191</v>
      </c>
      <c r="G12" s="857"/>
      <c r="H12" s="858" t="s">
        <v>68</v>
      </c>
      <c r="I12" s="857">
        <v>2025</v>
      </c>
      <c r="J12" s="825" t="s">
        <v>81</v>
      </c>
      <c r="K12" s="859">
        <v>0</v>
      </c>
      <c r="L12" s="859">
        <v>557000000</v>
      </c>
      <c r="M12" s="859">
        <f>M8</f>
        <v>549000000</v>
      </c>
      <c r="N12" s="859">
        <f t="shared" ref="N12" si="1">N8</f>
        <v>100000000</v>
      </c>
      <c r="O12" s="859">
        <f>O8</f>
        <v>81000000</v>
      </c>
      <c r="P12" s="859">
        <v>0</v>
      </c>
      <c r="Q12" s="859">
        <v>0</v>
      </c>
      <c r="R12" s="859">
        <v>0</v>
      </c>
      <c r="S12" s="1290">
        <f>S8</f>
        <v>140000000</v>
      </c>
      <c r="T12" s="1290"/>
      <c r="U12" s="860">
        <f t="shared" si="0"/>
        <v>1427000000</v>
      </c>
      <c r="V12" s="129"/>
    </row>
    <row r="13" spans="1:22" ht="16.5" customHeight="1">
      <c r="A13" s="124"/>
      <c r="B13" s="124"/>
      <c r="C13" s="856" t="s">
        <v>221</v>
      </c>
      <c r="D13" s="1281" t="s">
        <v>190</v>
      </c>
      <c r="E13" s="1281"/>
      <c r="F13" s="825" t="s">
        <v>191</v>
      </c>
      <c r="G13" s="857"/>
      <c r="H13" s="858" t="s">
        <v>68</v>
      </c>
      <c r="I13" s="857">
        <v>2025</v>
      </c>
      <c r="J13" s="825" t="s">
        <v>82</v>
      </c>
      <c r="K13" s="859">
        <v>0</v>
      </c>
      <c r="L13" s="859">
        <f>L9</f>
        <v>462031000</v>
      </c>
      <c r="M13" s="859">
        <f>M9</f>
        <v>503290000</v>
      </c>
      <c r="N13" s="859">
        <f>N9</f>
        <v>119700000</v>
      </c>
      <c r="O13" s="859">
        <f>O9</f>
        <v>107510000</v>
      </c>
      <c r="P13" s="859">
        <v>0</v>
      </c>
      <c r="Q13" s="859">
        <v>0</v>
      </c>
      <c r="R13" s="859">
        <v>0</v>
      </c>
      <c r="S13" s="1290">
        <f>S9</f>
        <v>259270855</v>
      </c>
      <c r="T13" s="1290"/>
      <c r="U13" s="860">
        <f>SUM(K13:T13)</f>
        <v>1451801855</v>
      </c>
      <c r="V13" s="129"/>
    </row>
    <row r="14" spans="1:22" ht="16.5" customHeight="1">
      <c r="A14" s="124"/>
      <c r="B14" s="124"/>
      <c r="C14" s="856" t="s">
        <v>221</v>
      </c>
      <c r="D14" s="1281" t="s">
        <v>190</v>
      </c>
      <c r="E14" s="1281"/>
      <c r="F14" s="825" t="s">
        <v>191</v>
      </c>
      <c r="G14" s="857"/>
      <c r="H14" s="858" t="s">
        <v>68</v>
      </c>
      <c r="I14" s="857">
        <v>2025</v>
      </c>
      <c r="J14" s="825" t="s">
        <v>83</v>
      </c>
      <c r="K14" s="859">
        <v>0</v>
      </c>
      <c r="L14" s="859">
        <f>L10</f>
        <v>396904849</v>
      </c>
      <c r="M14" s="859">
        <f t="shared" ref="M14:N15" si="2">M10</f>
        <v>478323136</v>
      </c>
      <c r="N14" s="859">
        <f t="shared" si="2"/>
        <v>117426725</v>
      </c>
      <c r="O14" s="859">
        <f>O10</f>
        <v>100983829</v>
      </c>
      <c r="P14" s="859">
        <v>0</v>
      </c>
      <c r="Q14" s="859">
        <v>0</v>
      </c>
      <c r="R14" s="859">
        <v>0</v>
      </c>
      <c r="S14" s="1290">
        <f>S10</f>
        <v>249232267</v>
      </c>
      <c r="T14" s="1290"/>
      <c r="U14" s="860">
        <f t="shared" si="0"/>
        <v>1342870806</v>
      </c>
      <c r="V14" s="129"/>
    </row>
    <row r="15" spans="1:22" ht="16.5" customHeight="1">
      <c r="A15" s="124"/>
      <c r="B15" s="124"/>
      <c r="C15" s="856" t="s">
        <v>221</v>
      </c>
      <c r="D15" s="1281" t="s">
        <v>190</v>
      </c>
      <c r="E15" s="1281"/>
      <c r="F15" s="825" t="s">
        <v>191</v>
      </c>
      <c r="G15" s="857"/>
      <c r="H15" s="858" t="s">
        <v>68</v>
      </c>
      <c r="I15" s="857">
        <v>2025</v>
      </c>
      <c r="J15" s="825" t="s">
        <v>84</v>
      </c>
      <c r="K15" s="859">
        <v>0</v>
      </c>
      <c r="L15" s="859">
        <f>L11</f>
        <v>0</v>
      </c>
      <c r="M15" s="859">
        <f t="shared" si="2"/>
        <v>0</v>
      </c>
      <c r="N15" s="859">
        <f t="shared" si="2"/>
        <v>0</v>
      </c>
      <c r="O15" s="859">
        <f>O11</f>
        <v>0</v>
      </c>
      <c r="P15" s="859">
        <v>0</v>
      </c>
      <c r="Q15" s="859">
        <v>0</v>
      </c>
      <c r="R15" s="859">
        <v>0</v>
      </c>
      <c r="S15" s="1290">
        <v>0</v>
      </c>
      <c r="T15" s="1290"/>
      <c r="U15" s="860">
        <f>SUM(K15:T15)</f>
        <v>0</v>
      </c>
    </row>
    <row r="16" spans="1:22" ht="16.5" customHeight="1">
      <c r="A16" s="124"/>
      <c r="B16" s="124"/>
      <c r="C16" s="856" t="s">
        <v>221</v>
      </c>
      <c r="D16" s="1281" t="s">
        <v>190</v>
      </c>
      <c r="E16" s="1281"/>
      <c r="F16" s="825" t="s">
        <v>89</v>
      </c>
      <c r="G16" s="857"/>
      <c r="H16" s="858"/>
      <c r="I16" s="857">
        <v>2025</v>
      </c>
      <c r="J16" s="825"/>
      <c r="K16" s="859">
        <v>0</v>
      </c>
      <c r="L16" s="859">
        <f>L13-L14</f>
        <v>65126151</v>
      </c>
      <c r="M16" s="859">
        <f t="shared" ref="M16" si="3">M13-M14</f>
        <v>24966864</v>
      </c>
      <c r="N16" s="859">
        <f>N13-N14</f>
        <v>2273275</v>
      </c>
      <c r="O16" s="859">
        <f>O13-O14</f>
        <v>6526171</v>
      </c>
      <c r="P16" s="859">
        <v>0</v>
      </c>
      <c r="Q16" s="859">
        <v>0</v>
      </c>
      <c r="R16" s="859">
        <v>0</v>
      </c>
      <c r="S16" s="1290">
        <f>S13-S14</f>
        <v>10038588</v>
      </c>
      <c r="T16" s="1290"/>
      <c r="U16" s="860">
        <f t="shared" si="0"/>
        <v>108931049</v>
      </c>
    </row>
    <row r="17" spans="1:21" ht="16.5" customHeight="1" thickBot="1">
      <c r="A17" s="124"/>
      <c r="B17" s="124"/>
      <c r="C17" s="861" t="s">
        <v>221</v>
      </c>
      <c r="D17" s="1279" t="s">
        <v>190</v>
      </c>
      <c r="E17" s="1279"/>
      <c r="F17" s="862" t="s">
        <v>90</v>
      </c>
      <c r="G17" s="863"/>
      <c r="H17" s="864"/>
      <c r="I17" s="863">
        <v>2025</v>
      </c>
      <c r="J17" s="862"/>
      <c r="K17" s="865">
        <v>0</v>
      </c>
      <c r="L17" s="866">
        <f>L14/L13*100</f>
        <v>85.904376329726801</v>
      </c>
      <c r="M17" s="866">
        <f>M14/M13*100</f>
        <v>95.039268811222158</v>
      </c>
      <c r="N17" s="866">
        <f>N14/N13*100</f>
        <v>98.100856307435265</v>
      </c>
      <c r="O17" s="866">
        <f>O14/O13*100</f>
        <v>93.929707934145654</v>
      </c>
      <c r="P17" s="866">
        <v>0</v>
      </c>
      <c r="Q17" s="866">
        <v>0</v>
      </c>
      <c r="R17" s="866">
        <v>0</v>
      </c>
      <c r="S17" s="1291">
        <f>S14/S13*100</f>
        <v>96.128146374184638</v>
      </c>
      <c r="T17" s="1291"/>
      <c r="U17" s="867">
        <f>U14/U13*100</f>
        <v>92.496837731344542</v>
      </c>
    </row>
    <row r="18" spans="1:21" ht="12" thickTop="1">
      <c r="A18" s="124"/>
      <c r="B18" s="1280"/>
      <c r="C18" s="1280"/>
      <c r="D18" s="1280"/>
      <c r="E18" s="124"/>
      <c r="F18" s="124"/>
      <c r="G18" s="124"/>
      <c r="H18" s="124"/>
      <c r="I18" s="124"/>
      <c r="J18" s="124"/>
      <c r="K18" s="124"/>
      <c r="L18" s="868"/>
      <c r="M18" s="124"/>
      <c r="N18" s="124"/>
      <c r="O18" s="124"/>
      <c r="P18" s="124"/>
      <c r="Q18" s="124"/>
      <c r="R18" s="124"/>
      <c r="S18" s="124"/>
      <c r="T18" s="124"/>
      <c r="U18" s="124"/>
    </row>
  </sheetData>
  <mergeCells count="34">
    <mergeCell ref="S13:T13"/>
    <mergeCell ref="S14:T14"/>
    <mergeCell ref="S15:T15"/>
    <mergeCell ref="S16:T16"/>
    <mergeCell ref="S17:T17"/>
    <mergeCell ref="S8:T8"/>
    <mergeCell ref="S9:T9"/>
    <mergeCell ref="S10:T10"/>
    <mergeCell ref="S11:T11"/>
    <mergeCell ref="S12:T12"/>
    <mergeCell ref="C2:S2"/>
    <mergeCell ref="A5:B6"/>
    <mergeCell ref="C5:C7"/>
    <mergeCell ref="D5:E7"/>
    <mergeCell ref="F5:F7"/>
    <mergeCell ref="G5:G7"/>
    <mergeCell ref="H5:H7"/>
    <mergeCell ref="I5:I6"/>
    <mergeCell ref="J5:J7"/>
    <mergeCell ref="C3:U3"/>
    <mergeCell ref="K5:U5"/>
    <mergeCell ref="S6:T6"/>
    <mergeCell ref="S7:T7"/>
    <mergeCell ref="D11:E11"/>
    <mergeCell ref="D12:E12"/>
    <mergeCell ref="D13:E13"/>
    <mergeCell ref="D8:E8"/>
    <mergeCell ref="D9:E9"/>
    <mergeCell ref="D10:E10"/>
    <mergeCell ref="D17:E17"/>
    <mergeCell ref="B18:D18"/>
    <mergeCell ref="D14:E14"/>
    <mergeCell ref="D15:E15"/>
    <mergeCell ref="D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opLeftCell="A84" workbookViewId="0">
      <selection activeCell="A109" sqref="A109"/>
    </sheetView>
  </sheetViews>
  <sheetFormatPr defaultRowHeight="15"/>
  <cols>
    <col min="1" max="1" width="14" customWidth="1"/>
    <col min="3" max="3" width="15.42578125" style="52" bestFit="1" customWidth="1"/>
    <col min="4" max="4" width="15.28515625" style="52" bestFit="1" customWidth="1"/>
    <col min="5" max="5" width="16" style="52" bestFit="1" customWidth="1"/>
    <col min="6" max="7" width="15" style="52" customWidth="1"/>
    <col min="8" max="8" width="16.85546875" style="192" bestFit="1" customWidth="1"/>
    <col min="9" max="9" width="16.85546875" style="52" customWidth="1"/>
  </cols>
  <sheetData>
    <row r="1" spans="1:11" ht="42.75" thickBot="1">
      <c r="A1" s="1025" t="s">
        <v>529</v>
      </c>
      <c r="B1" s="146" t="s">
        <v>530</v>
      </c>
      <c r="C1" s="147" t="s">
        <v>531</v>
      </c>
      <c r="D1" s="147" t="s">
        <v>532</v>
      </c>
      <c r="E1" s="147" t="s">
        <v>533</v>
      </c>
      <c r="F1" s="148" t="s">
        <v>107</v>
      </c>
      <c r="G1" s="149" t="s">
        <v>534</v>
      </c>
      <c r="H1" s="150" t="s">
        <v>535</v>
      </c>
      <c r="I1" s="151" t="s">
        <v>536</v>
      </c>
      <c r="J1" s="88"/>
      <c r="K1" s="88"/>
    </row>
    <row r="2" spans="1:11" ht="15.75" customHeight="1" thickBot="1">
      <c r="A2" s="1026"/>
      <c r="B2" s="152">
        <v>600</v>
      </c>
      <c r="C2" s="153">
        <f>'Aneksi nr.1'!E12/1000</f>
        <v>1940414.0951999999</v>
      </c>
      <c r="D2" s="154">
        <f>'Aneksi nr.1'!G12/1000</f>
        <v>1523300</v>
      </c>
      <c r="E2" s="154"/>
      <c r="F2" s="154"/>
      <c r="G2" s="154">
        <f>E2-F2</f>
        <v>0</v>
      </c>
      <c r="H2" s="155" t="e">
        <f>F2/E2*100</f>
        <v>#DIV/0!</v>
      </c>
      <c r="I2" s="156">
        <f>E2-D2</f>
        <v>-1523300</v>
      </c>
      <c r="J2" s="88"/>
      <c r="K2" s="88"/>
    </row>
    <row r="3" spans="1:11" ht="15.75" thickBot="1">
      <c r="A3" s="1026"/>
      <c r="B3" s="152">
        <v>601</v>
      </c>
      <c r="C3" s="153">
        <f>'Aneksi nr.1'!E13/1000</f>
        <v>14698172.592980001</v>
      </c>
      <c r="D3" s="154">
        <f>'Aneksi nr.1'!G13/1000</f>
        <v>28853758</v>
      </c>
      <c r="E3" s="154"/>
      <c r="F3" s="154"/>
      <c r="G3" s="154">
        <f t="shared" ref="G3:G10" si="0">E3-F3</f>
        <v>0</v>
      </c>
      <c r="H3" s="155" t="e">
        <f t="shared" ref="H3:H11" si="1">F3/E3*100</f>
        <v>#DIV/0!</v>
      </c>
      <c r="I3" s="156">
        <f t="shared" ref="I3:I10" si="2">E3-D3</f>
        <v>-28853758</v>
      </c>
      <c r="J3" s="157">
        <v>0</v>
      </c>
      <c r="K3" s="88"/>
    </row>
    <row r="4" spans="1:11" ht="15.75" thickBot="1">
      <c r="A4" s="1026"/>
      <c r="B4" s="152">
        <v>602</v>
      </c>
      <c r="C4" s="153">
        <f>'Aneksi nr.1'!E14/1000</f>
        <v>6767799.8169599995</v>
      </c>
      <c r="D4" s="154">
        <f>'Aneksi nr.1'!G14/1000</f>
        <v>8313436</v>
      </c>
      <c r="E4" s="154"/>
      <c r="F4" s="154"/>
      <c r="G4" s="154">
        <f t="shared" si="0"/>
        <v>0</v>
      </c>
      <c r="H4" s="155" t="e">
        <f t="shared" si="1"/>
        <v>#DIV/0!</v>
      </c>
      <c r="I4" s="156">
        <f t="shared" si="2"/>
        <v>-8313436</v>
      </c>
      <c r="J4" s="157">
        <v>0</v>
      </c>
      <c r="K4" s="88"/>
    </row>
    <row r="5" spans="1:11" ht="15.75" thickBot="1">
      <c r="A5" s="1026"/>
      <c r="B5" s="152">
        <v>603</v>
      </c>
      <c r="C5" s="153">
        <f>'Aneksi nr.1'!E15/1000</f>
        <v>1905423.0180000002</v>
      </c>
      <c r="D5" s="154">
        <f>'Aneksi nr.1'!G15/1000</f>
        <v>1906000</v>
      </c>
      <c r="E5" s="154"/>
      <c r="F5" s="154"/>
      <c r="G5" s="154">
        <f t="shared" si="0"/>
        <v>0</v>
      </c>
      <c r="H5" s="155" t="e">
        <f t="shared" si="1"/>
        <v>#DIV/0!</v>
      </c>
      <c r="I5" s="156">
        <f t="shared" si="2"/>
        <v>-1906000</v>
      </c>
      <c r="J5" s="157">
        <v>0</v>
      </c>
      <c r="K5" s="88"/>
    </row>
    <row r="6" spans="1:11" ht="15.75" thickBot="1">
      <c r="A6" s="1026"/>
      <c r="B6" s="152">
        <v>604</v>
      </c>
      <c r="C6" s="153">
        <f>'Aneksi nr.1'!E16/1000</f>
        <v>1171873.416</v>
      </c>
      <c r="D6" s="154">
        <f>'Aneksi nr.1'!G16/1000</f>
        <v>1427000</v>
      </c>
      <c r="E6" s="154"/>
      <c r="F6" s="154"/>
      <c r="G6" s="154">
        <f t="shared" si="0"/>
        <v>0</v>
      </c>
      <c r="H6" s="155" t="e">
        <f t="shared" si="1"/>
        <v>#DIV/0!</v>
      </c>
      <c r="I6" s="156">
        <f t="shared" si="2"/>
        <v>-1427000</v>
      </c>
      <c r="J6" s="157">
        <v>0</v>
      </c>
      <c r="K6" s="88"/>
    </row>
    <row r="7" spans="1:11" ht="15.75" thickBot="1">
      <c r="A7" s="1026"/>
      <c r="B7" s="152">
        <v>605</v>
      </c>
      <c r="C7" s="153">
        <f>'Aneksi nr.1'!E17/1000</f>
        <v>5243000</v>
      </c>
      <c r="D7" s="154">
        <f>'Aneksi nr.1'!G17/1000</f>
        <v>5200000</v>
      </c>
      <c r="E7" s="154"/>
      <c r="F7" s="154"/>
      <c r="G7" s="154">
        <f t="shared" si="0"/>
        <v>0</v>
      </c>
      <c r="H7" s="155" t="e">
        <f t="shared" si="1"/>
        <v>#DIV/0!</v>
      </c>
      <c r="I7" s="156">
        <f t="shared" si="2"/>
        <v>-5200000</v>
      </c>
      <c r="J7" s="157">
        <v>0</v>
      </c>
      <c r="K7" s="157"/>
    </row>
    <row r="8" spans="1:11" ht="15.75" thickBot="1">
      <c r="A8" s="1026"/>
      <c r="B8" s="152">
        <v>606</v>
      </c>
      <c r="C8" s="153">
        <f>'Aneksi nr.1'!E18/1000</f>
        <v>2354666.0460000001</v>
      </c>
      <c r="D8" s="154">
        <f>'Aneksi nr.1'!G18/1000</f>
        <v>5462050</v>
      </c>
      <c r="E8" s="154"/>
      <c r="F8" s="154"/>
      <c r="G8" s="154">
        <f t="shared" si="0"/>
        <v>0</v>
      </c>
      <c r="H8" s="155" t="e">
        <f t="shared" si="1"/>
        <v>#DIV/0!</v>
      </c>
      <c r="I8" s="156">
        <f>E8-D8</f>
        <v>-5462050</v>
      </c>
      <c r="J8" s="157">
        <v>0</v>
      </c>
      <c r="K8" s="157"/>
    </row>
    <row r="9" spans="1:11" ht="15.75" thickBot="1">
      <c r="A9" s="1026"/>
      <c r="B9" s="152">
        <v>231</v>
      </c>
      <c r="C9" s="153">
        <f>'Aneksi nr.1'!E19/1000</f>
        <v>34081348.985139996</v>
      </c>
      <c r="D9" s="154">
        <f>'Aneksi nr.1'!G19/1000</f>
        <v>52685544</v>
      </c>
      <c r="E9" s="154"/>
      <c r="F9" s="154"/>
      <c r="G9" s="154">
        <f t="shared" si="0"/>
        <v>0</v>
      </c>
      <c r="H9" s="155" t="e">
        <f t="shared" si="1"/>
        <v>#DIV/0!</v>
      </c>
      <c r="I9" s="156">
        <f t="shared" si="2"/>
        <v>-52685544</v>
      </c>
      <c r="J9" s="157"/>
      <c r="K9" s="157"/>
    </row>
    <row r="10" spans="1:11" ht="15.75" thickBot="1">
      <c r="A10" s="1026"/>
      <c r="B10" s="152" t="s">
        <v>538</v>
      </c>
      <c r="C10" s="153">
        <f>'Aneksi nr.1'!E20/1000</f>
        <v>115280</v>
      </c>
      <c r="D10" s="154">
        <v>0</v>
      </c>
      <c r="E10" s="154"/>
      <c r="F10" s="158"/>
      <c r="G10" s="154">
        <f t="shared" si="0"/>
        <v>0</v>
      </c>
      <c r="H10" s="155" t="e">
        <f t="shared" si="1"/>
        <v>#DIV/0!</v>
      </c>
      <c r="I10" s="156">
        <f t="shared" si="2"/>
        <v>0</v>
      </c>
      <c r="J10" s="157">
        <v>0</v>
      </c>
      <c r="K10" s="157"/>
    </row>
    <row r="11" spans="1:11" ht="29.25" thickBot="1">
      <c r="A11" s="1027"/>
      <c r="B11" s="159" t="s">
        <v>539</v>
      </c>
      <c r="C11" s="160">
        <f t="shared" ref="C11:G11" si="3">SUM(C2:C10)</f>
        <v>68277977.970279992</v>
      </c>
      <c r="D11" s="160">
        <f t="shared" si="3"/>
        <v>105371088</v>
      </c>
      <c r="E11" s="160">
        <f t="shared" si="3"/>
        <v>0</v>
      </c>
      <c r="F11" s="160">
        <f t="shared" si="3"/>
        <v>0</v>
      </c>
      <c r="G11" s="160">
        <f t="shared" si="3"/>
        <v>0</v>
      </c>
      <c r="H11" s="161" t="e">
        <f t="shared" si="1"/>
        <v>#DIV/0!</v>
      </c>
      <c r="I11" s="160">
        <f>SUM(I2:I10)</f>
        <v>-105371088</v>
      </c>
      <c r="J11" s="157">
        <v>0</v>
      </c>
      <c r="K11" s="157"/>
    </row>
    <row r="12" spans="1:11">
      <c r="A12" s="88"/>
      <c r="B12" s="88"/>
      <c r="C12" s="162"/>
      <c r="D12" s="163"/>
      <c r="E12" s="164"/>
      <c r="F12" s="165"/>
      <c r="G12" s="163"/>
      <c r="H12" s="166"/>
      <c r="I12" s="162"/>
      <c r="J12" s="88"/>
      <c r="K12" s="88"/>
    </row>
    <row r="13" spans="1:11" ht="15.75" thickBot="1">
      <c r="A13" s="88"/>
      <c r="B13" s="88"/>
      <c r="C13" s="162"/>
      <c r="D13" s="163"/>
      <c r="E13" s="163"/>
      <c r="F13" s="165"/>
      <c r="G13" s="163"/>
      <c r="H13" s="166"/>
      <c r="I13" s="162"/>
      <c r="J13" s="88"/>
      <c r="K13" s="88"/>
    </row>
    <row r="14" spans="1:11" ht="51.75" thickBot="1">
      <c r="A14" s="1025" t="s">
        <v>540</v>
      </c>
      <c r="B14" s="167" t="s">
        <v>530</v>
      </c>
      <c r="C14" s="168" t="s">
        <v>107</v>
      </c>
      <c r="D14" s="168" t="s">
        <v>532</v>
      </c>
      <c r="E14" s="168" t="s">
        <v>533</v>
      </c>
      <c r="F14" s="148" t="s">
        <v>107</v>
      </c>
      <c r="G14" s="169" t="s">
        <v>534</v>
      </c>
      <c r="H14" s="150" t="s">
        <v>535</v>
      </c>
      <c r="I14" s="169" t="s">
        <v>536</v>
      </c>
      <c r="J14" s="88"/>
      <c r="K14" s="88"/>
    </row>
    <row r="15" spans="1:11" ht="15.75" thickBot="1">
      <c r="A15" s="1026"/>
      <c r="B15" s="152">
        <v>600</v>
      </c>
      <c r="C15" s="153">
        <v>3590420.6770000001</v>
      </c>
      <c r="D15" s="154">
        <v>3869168</v>
      </c>
      <c r="E15" s="154">
        <f>'[2]Forca e luftimit'!G12/1000</f>
        <v>4861643.95</v>
      </c>
      <c r="F15" s="154">
        <f>'[2]Forca e luftimit'!H12/1000</f>
        <v>4851623.432</v>
      </c>
      <c r="G15" s="154">
        <f>E15-F15</f>
        <v>10020.518000000156</v>
      </c>
      <c r="H15" s="155">
        <f>F15/E15*100</f>
        <v>99.793886222375448</v>
      </c>
      <c r="I15" s="154">
        <f>E15-D15</f>
        <v>992475.95000000019</v>
      </c>
      <c r="J15" s="88"/>
      <c r="K15" s="88"/>
    </row>
    <row r="16" spans="1:11" ht="15.75" thickBot="1">
      <c r="A16" s="1026"/>
      <c r="B16" s="152">
        <v>601</v>
      </c>
      <c r="C16" s="153">
        <v>608428.18400000001</v>
      </c>
      <c r="D16" s="154">
        <v>680000</v>
      </c>
      <c r="E16" s="154">
        <f>'[2]Forca e luftimit'!G13/1000</f>
        <v>787160</v>
      </c>
      <c r="F16" s="154">
        <f>'[2]Forca e luftimit'!H13/1000</f>
        <v>784786.62800000003</v>
      </c>
      <c r="G16" s="154">
        <f t="shared" ref="G16:G23" si="4">E16-F16</f>
        <v>2373.3719999999739</v>
      </c>
      <c r="H16" s="155">
        <f t="shared" ref="H16:H24" si="5">F16/E16*100</f>
        <v>99.698489252502682</v>
      </c>
      <c r="I16" s="154">
        <f t="shared" ref="I16:I23" si="6">E16-D16</f>
        <v>107160</v>
      </c>
      <c r="J16" s="88"/>
      <c r="K16" s="88"/>
    </row>
    <row r="17" spans="1:9" ht="15.75" thickBot="1">
      <c r="A17" s="1026"/>
      <c r="B17" s="152">
        <v>602</v>
      </c>
      <c r="C17" s="153">
        <v>2994541.7336000004</v>
      </c>
      <c r="D17" s="154">
        <v>2863090</v>
      </c>
      <c r="E17" s="154">
        <f>'[2]Forca e luftimit'!G14/1000</f>
        <v>3523090</v>
      </c>
      <c r="F17" s="154">
        <f>'[2]Forca e luftimit'!H14/1000</f>
        <v>3456990.3500399999</v>
      </c>
      <c r="G17" s="154">
        <f t="shared" si="4"/>
        <v>66099.649960000068</v>
      </c>
      <c r="H17" s="155">
        <f t="shared" si="5"/>
        <v>98.123816026272394</v>
      </c>
      <c r="I17" s="154">
        <f t="shared" si="6"/>
        <v>660000</v>
      </c>
    </row>
    <row r="18" spans="1:9" ht="15.75" thickBot="1">
      <c r="A18" s="1026"/>
      <c r="B18" s="152">
        <v>603</v>
      </c>
      <c r="C18" s="153">
        <v>0</v>
      </c>
      <c r="D18" s="154">
        <v>0</v>
      </c>
      <c r="E18" s="154">
        <f>'[2]Forca e luftimit'!G15/1000</f>
        <v>0</v>
      </c>
      <c r="F18" s="154">
        <f>'[2]Forca e luftimit'!H15/1000</f>
        <v>0</v>
      </c>
      <c r="G18" s="154">
        <f t="shared" si="4"/>
        <v>0</v>
      </c>
      <c r="H18" s="155" t="e">
        <f t="shared" si="5"/>
        <v>#DIV/0!</v>
      </c>
      <c r="I18" s="154">
        <f t="shared" si="6"/>
        <v>0</v>
      </c>
    </row>
    <row r="19" spans="1:9" ht="15.75" thickBot="1">
      <c r="A19" s="1026"/>
      <c r="B19" s="152">
        <v>604</v>
      </c>
      <c r="C19" s="153">
        <v>0</v>
      </c>
      <c r="D19" s="154">
        <v>0</v>
      </c>
      <c r="E19" s="154">
        <f>'[2]Forca e luftimit'!G16/1000</f>
        <v>0</v>
      </c>
      <c r="F19" s="154">
        <f>'[2]Forca e luftimit'!H16/1000</f>
        <v>0</v>
      </c>
      <c r="G19" s="154">
        <f t="shared" si="4"/>
        <v>0</v>
      </c>
      <c r="H19" s="155" t="e">
        <f t="shared" si="5"/>
        <v>#DIV/0!</v>
      </c>
      <c r="I19" s="154">
        <f t="shared" si="6"/>
        <v>0</v>
      </c>
    </row>
    <row r="20" spans="1:9" ht="15.75" thickBot="1">
      <c r="A20" s="1026"/>
      <c r="B20" s="152">
        <v>605</v>
      </c>
      <c r="C20" s="153">
        <v>0</v>
      </c>
      <c r="D20" s="154">
        <v>0</v>
      </c>
      <c r="E20" s="154">
        <f>'[2]Forca e luftimit'!G17/1000</f>
        <v>0</v>
      </c>
      <c r="F20" s="154">
        <f>'[2]Forca e luftimit'!H17/1000</f>
        <v>0</v>
      </c>
      <c r="G20" s="154">
        <f t="shared" si="4"/>
        <v>0</v>
      </c>
      <c r="H20" s="155" t="e">
        <f t="shared" si="5"/>
        <v>#DIV/0!</v>
      </c>
      <c r="I20" s="154">
        <f t="shared" si="6"/>
        <v>0</v>
      </c>
    </row>
    <row r="21" spans="1:9" ht="15.75" thickBot="1">
      <c r="A21" s="1026"/>
      <c r="B21" s="152">
        <v>606</v>
      </c>
      <c r="C21" s="153">
        <v>71323.006379999992</v>
      </c>
      <c r="D21" s="154">
        <v>40000</v>
      </c>
      <c r="E21" s="154">
        <f>'[2]Forca e luftimit'!G18/1000</f>
        <v>66240.873000000007</v>
      </c>
      <c r="F21" s="154">
        <f>'[2]Forca e luftimit'!H18/1000</f>
        <v>62271.942000000003</v>
      </c>
      <c r="G21" s="154">
        <f t="shared" si="4"/>
        <v>3968.9310000000041</v>
      </c>
      <c r="H21" s="155">
        <f t="shared" si="5"/>
        <v>94.008335306812754</v>
      </c>
      <c r="I21" s="154">
        <f>E21-D21</f>
        <v>26240.873000000007</v>
      </c>
    </row>
    <row r="22" spans="1:9" ht="15.75" thickBot="1">
      <c r="A22" s="1026"/>
      <c r="B22" s="152">
        <v>231</v>
      </c>
      <c r="C22" s="153">
        <v>7433458.9919999996</v>
      </c>
      <c r="D22" s="154">
        <v>11201500</v>
      </c>
      <c r="E22" s="154">
        <f>'[2]Forca e luftimit'!G22/1000</f>
        <v>8836120</v>
      </c>
      <c r="F22" s="154">
        <f>'[2]Forca e luftimit'!H22/1000</f>
        <v>8225662.1870900001</v>
      </c>
      <c r="G22" s="154">
        <f t="shared" si="4"/>
        <v>610457.81290999986</v>
      </c>
      <c r="H22" s="155">
        <f t="shared" si="5"/>
        <v>93.091336322843048</v>
      </c>
      <c r="I22" s="154">
        <f t="shared" si="6"/>
        <v>-2365380</v>
      </c>
    </row>
    <row r="23" spans="1:9" ht="15.75" thickBot="1">
      <c r="A23" s="1026"/>
      <c r="B23" s="152" t="s">
        <v>538</v>
      </c>
      <c r="C23" s="153">
        <v>0</v>
      </c>
      <c r="D23" s="154">
        <v>10200000</v>
      </c>
      <c r="E23" s="154">
        <f>'[2]Forca e luftimit'!G24/1000</f>
        <v>11102400</v>
      </c>
      <c r="F23" s="154">
        <f>'[2]Forca e luftimit'!H24/1000</f>
        <v>0</v>
      </c>
      <c r="G23" s="154">
        <f t="shared" si="4"/>
        <v>11102400</v>
      </c>
      <c r="H23" s="155">
        <f t="shared" si="5"/>
        <v>0</v>
      </c>
      <c r="I23" s="154">
        <f t="shared" si="6"/>
        <v>902400</v>
      </c>
    </row>
    <row r="24" spans="1:9" ht="29.25" thickBot="1">
      <c r="A24" s="1028"/>
      <c r="B24" s="159" t="s">
        <v>539</v>
      </c>
      <c r="C24" s="170">
        <v>14698172.592980001</v>
      </c>
      <c r="D24" s="160">
        <v>28853758</v>
      </c>
      <c r="E24" s="160">
        <f t="shared" ref="E24:I24" si="7">SUM(E15:E23)</f>
        <v>29176654.822999999</v>
      </c>
      <c r="F24" s="160">
        <f t="shared" si="7"/>
        <v>17381334.539130002</v>
      </c>
      <c r="G24" s="160">
        <f t="shared" si="7"/>
        <v>11795320.28387</v>
      </c>
      <c r="H24" s="161">
        <f t="shared" si="5"/>
        <v>59.572746240354711</v>
      </c>
      <c r="I24" s="160">
        <f t="shared" si="7"/>
        <v>322896.82300000009</v>
      </c>
    </row>
    <row r="25" spans="1:9">
      <c r="A25" s="88"/>
      <c r="B25" s="88"/>
      <c r="C25" s="162">
        <v>14701747.592979999</v>
      </c>
      <c r="D25" s="164">
        <v>24939590</v>
      </c>
      <c r="E25" s="164">
        <v>16180095.213</v>
      </c>
      <c r="F25" s="165">
        <v>14701747.592979999</v>
      </c>
      <c r="G25" s="164">
        <v>1481922.6200199996</v>
      </c>
      <c r="H25" s="171">
        <v>9.0863171071872237E-2</v>
      </c>
      <c r="I25" s="164" t="e">
        <v>#REF!</v>
      </c>
    </row>
    <row r="26" spans="1:9" ht="15.75" thickBot="1">
      <c r="A26" s="88"/>
      <c r="B26" s="88"/>
      <c r="C26" s="162"/>
      <c r="D26" s="164">
        <v>0</v>
      </c>
      <c r="E26" s="164">
        <v>0</v>
      </c>
      <c r="F26" s="165"/>
      <c r="G26" s="164"/>
      <c r="H26" s="171"/>
      <c r="I26" s="164"/>
    </row>
    <row r="27" spans="1:9" ht="42.75" thickBot="1">
      <c r="A27" s="1025" t="s">
        <v>541</v>
      </c>
      <c r="B27" s="146" t="s">
        <v>530</v>
      </c>
      <c r="C27" s="147" t="s">
        <v>107</v>
      </c>
      <c r="D27" s="147" t="s">
        <v>532</v>
      </c>
      <c r="E27" s="147" t="s">
        <v>533</v>
      </c>
      <c r="F27" s="148" t="s">
        <v>107</v>
      </c>
      <c r="G27" s="147" t="s">
        <v>534</v>
      </c>
      <c r="H27" s="172" t="s">
        <v>535</v>
      </c>
      <c r="I27" s="147" t="s">
        <v>536</v>
      </c>
    </row>
    <row r="28" spans="1:9" ht="15.75" thickBot="1">
      <c r="A28" s="1026"/>
      <c r="B28" s="152">
        <v>600</v>
      </c>
      <c r="C28" s="153">
        <v>3055112.84</v>
      </c>
      <c r="D28" s="154">
        <v>3188700</v>
      </c>
      <c r="E28" s="154">
        <f>'[2]Mbështetja e Luftimit'!G12/1000</f>
        <v>3655358.1269999999</v>
      </c>
      <c r="F28" s="154">
        <f>'[2]Mbështetja e Luftimit'!H12/1000</f>
        <v>3643746.554</v>
      </c>
      <c r="G28" s="154">
        <f>E28-F28</f>
        <v>11611.572999999858</v>
      </c>
      <c r="H28" s="155">
        <f>F28/E28*100</f>
        <v>99.682341029344514</v>
      </c>
      <c r="I28" s="156">
        <f>E28-D28</f>
        <v>466658.12699999986</v>
      </c>
    </row>
    <row r="29" spans="1:9" ht="15.75" thickBot="1">
      <c r="A29" s="1026"/>
      <c r="B29" s="152">
        <v>601</v>
      </c>
      <c r="C29" s="153">
        <v>528272.23199999996</v>
      </c>
      <c r="D29" s="154">
        <v>514300</v>
      </c>
      <c r="E29" s="154">
        <f>'[2]Mbështetja e Luftimit'!G13/1000</f>
        <v>605980</v>
      </c>
      <c r="F29" s="154">
        <f>'[2]Mbështetja e Luftimit'!H13/1000</f>
        <v>600774.04399999999</v>
      </c>
      <c r="G29" s="154">
        <f t="shared" ref="G29:G36" si="8">E29-F29</f>
        <v>5205.9560000000056</v>
      </c>
      <c r="H29" s="155">
        <f t="shared" ref="H29:H37" si="9">F29/E29*100</f>
        <v>99.140903000099016</v>
      </c>
      <c r="I29" s="156">
        <f t="shared" ref="I29:I36" si="10">E29-D29</f>
        <v>91680</v>
      </c>
    </row>
    <row r="30" spans="1:9" ht="15.75" thickBot="1">
      <c r="A30" s="1026"/>
      <c r="B30" s="152">
        <v>602</v>
      </c>
      <c r="C30" s="153">
        <v>1957084.98245</v>
      </c>
      <c r="D30" s="154">
        <v>2750686</v>
      </c>
      <c r="E30" s="154">
        <f>'[2]Mbështetja e Luftimit'!G14/1000</f>
        <v>3110504</v>
      </c>
      <c r="F30" s="154">
        <f>'[2]Mbështetja e Luftimit'!H14/1000</f>
        <v>3041395.8130000001</v>
      </c>
      <c r="G30" s="154">
        <f t="shared" si="8"/>
        <v>69108.186999999918</v>
      </c>
      <c r="H30" s="155">
        <f t="shared" si="9"/>
        <v>97.778231855673553</v>
      </c>
      <c r="I30" s="156">
        <f t="shared" si="10"/>
        <v>359818</v>
      </c>
    </row>
    <row r="31" spans="1:9" ht="15.75" thickBot="1">
      <c r="A31" s="1026"/>
      <c r="B31" s="152">
        <v>603</v>
      </c>
      <c r="C31" s="153">
        <v>0</v>
      </c>
      <c r="D31" s="154">
        <v>0</v>
      </c>
      <c r="E31" s="154">
        <f>'[2]Mbështetja e Luftimit'!G15/1000</f>
        <v>0</v>
      </c>
      <c r="F31" s="154">
        <f>'[2]Mbështetja e Luftimit'!H15/1000</f>
        <v>0</v>
      </c>
      <c r="G31" s="154">
        <f t="shared" si="8"/>
        <v>0</v>
      </c>
      <c r="H31" s="155" t="e">
        <f t="shared" si="9"/>
        <v>#DIV/0!</v>
      </c>
      <c r="I31" s="156">
        <f t="shared" si="10"/>
        <v>0</v>
      </c>
    </row>
    <row r="32" spans="1:9" ht="15.75" thickBot="1">
      <c r="A32" s="1026"/>
      <c r="B32" s="152">
        <v>604</v>
      </c>
      <c r="C32" s="153">
        <v>289176.97100000002</v>
      </c>
      <c r="D32" s="154">
        <v>0</v>
      </c>
      <c r="E32" s="154">
        <f>'[2]Mbështetja e Luftimit'!G16/1000</f>
        <v>0</v>
      </c>
      <c r="F32" s="154">
        <f>'[2]Mbështetja e Luftimit'!H16/1000</f>
        <v>0</v>
      </c>
      <c r="G32" s="154">
        <f t="shared" si="8"/>
        <v>0</v>
      </c>
      <c r="H32" s="155" t="e">
        <f t="shared" si="9"/>
        <v>#DIV/0!</v>
      </c>
      <c r="I32" s="156">
        <f t="shared" si="10"/>
        <v>0</v>
      </c>
    </row>
    <row r="33" spans="1:9" ht="16.5" customHeight="1" thickBot="1">
      <c r="A33" s="1026"/>
      <c r="B33" s="152">
        <v>605</v>
      </c>
      <c r="C33" s="153">
        <v>0</v>
      </c>
      <c r="D33" s="154">
        <v>0</v>
      </c>
      <c r="E33" s="154">
        <f>'[2]Mbështetja e Luftimit'!G17/1000</f>
        <v>0</v>
      </c>
      <c r="F33" s="154">
        <f>'[2]Mbështetja e Luftimit'!H17/1000</f>
        <v>0</v>
      </c>
      <c r="G33" s="154">
        <f t="shared" si="8"/>
        <v>0</v>
      </c>
      <c r="H33" s="155" t="e">
        <f t="shared" si="9"/>
        <v>#DIV/0!</v>
      </c>
      <c r="I33" s="156">
        <f t="shared" si="10"/>
        <v>0</v>
      </c>
    </row>
    <row r="34" spans="1:9" ht="15.75" thickBot="1">
      <c r="A34" s="1026"/>
      <c r="B34" s="152">
        <v>606</v>
      </c>
      <c r="C34" s="153">
        <v>299352.57750999997</v>
      </c>
      <c r="D34" s="154">
        <v>301250</v>
      </c>
      <c r="E34" s="154">
        <f>'[2]Mbështetja e Luftimit'!G18/1000</f>
        <v>288528.99900000001</v>
      </c>
      <c r="F34" s="154">
        <f>'[2]Mbështetja e Luftimit'!H18/1000</f>
        <v>273641.14500000002</v>
      </c>
      <c r="G34" s="154">
        <f t="shared" si="8"/>
        <v>14887.853999999992</v>
      </c>
      <c r="H34" s="155">
        <f t="shared" si="9"/>
        <v>94.840083994468785</v>
      </c>
      <c r="I34" s="156">
        <f t="shared" si="10"/>
        <v>-12721.000999999989</v>
      </c>
    </row>
    <row r="35" spans="1:9" ht="15.75" thickBot="1">
      <c r="A35" s="1026"/>
      <c r="B35" s="152">
        <v>231</v>
      </c>
      <c r="C35" s="153">
        <v>638800.21400000004</v>
      </c>
      <c r="D35" s="154">
        <v>1558500</v>
      </c>
      <c r="E35" s="154">
        <f>'[2]Mbështetja e Luftimit'!G22/1000</f>
        <v>2317855</v>
      </c>
      <c r="F35" s="154">
        <f>'[2]Mbështetja e Luftimit'!H22/1000</f>
        <v>2069971.15873</v>
      </c>
      <c r="G35" s="154">
        <f t="shared" si="8"/>
        <v>247883.84126999998</v>
      </c>
      <c r="H35" s="155">
        <f t="shared" si="9"/>
        <v>89.305463833156082</v>
      </c>
      <c r="I35" s="156">
        <f t="shared" si="10"/>
        <v>759355</v>
      </c>
    </row>
    <row r="36" spans="1:9" ht="15.75" thickBot="1">
      <c r="A36" s="1026"/>
      <c r="B36" s="152" t="s">
        <v>538</v>
      </c>
      <c r="C36" s="153">
        <v>0</v>
      </c>
      <c r="D36" s="154">
        <v>0</v>
      </c>
      <c r="E36" s="154">
        <f>'[2]Aneksi 2PMA'!G48/1000</f>
        <v>0</v>
      </c>
      <c r="F36" s="158"/>
      <c r="G36" s="154">
        <f t="shared" si="8"/>
        <v>0</v>
      </c>
      <c r="H36" s="155" t="e">
        <f t="shared" si="9"/>
        <v>#DIV/0!</v>
      </c>
      <c r="I36" s="156">
        <f t="shared" si="10"/>
        <v>0</v>
      </c>
    </row>
    <row r="37" spans="1:9" ht="29.25" thickBot="1">
      <c r="A37" s="1027"/>
      <c r="B37" s="159" t="s">
        <v>539</v>
      </c>
      <c r="C37" s="173">
        <v>6767799.8169599995</v>
      </c>
      <c r="D37" s="160">
        <v>8313436</v>
      </c>
      <c r="E37" s="160">
        <f t="shared" ref="E37:G37" si="11">SUM(E28:E36)</f>
        <v>9978226.1260000002</v>
      </c>
      <c r="F37" s="160">
        <f t="shared" si="11"/>
        <v>9629528.7147300001</v>
      </c>
      <c r="G37" s="160">
        <f t="shared" si="11"/>
        <v>348697.41126999975</v>
      </c>
      <c r="H37" s="161">
        <f t="shared" si="9"/>
        <v>96.505416825928521</v>
      </c>
      <c r="I37" s="160">
        <f t="shared" ref="I37" si="12">SUM(I28:I36)</f>
        <v>1664790.1259999999</v>
      </c>
    </row>
    <row r="38" spans="1:9">
      <c r="A38" s="88"/>
      <c r="B38" s="88"/>
      <c r="C38" s="162">
        <v>0</v>
      </c>
      <c r="D38" s="164">
        <v>0</v>
      </c>
      <c r="E38" s="164">
        <v>610956.94299999997</v>
      </c>
      <c r="F38" s="165">
        <v>0</v>
      </c>
      <c r="G38" s="164">
        <v>0</v>
      </c>
      <c r="H38" s="171"/>
      <c r="I38" s="164"/>
    </row>
    <row r="39" spans="1:9" ht="15.75" thickBot="1">
      <c r="A39" s="88"/>
      <c r="B39" s="88"/>
      <c r="C39" s="162">
        <v>6767799.8169600004</v>
      </c>
      <c r="D39" s="164">
        <v>8020436</v>
      </c>
      <c r="E39" s="164">
        <v>7409479.057</v>
      </c>
      <c r="F39" s="165">
        <v>6767799.8169600004</v>
      </c>
      <c r="G39" s="164">
        <v>641679.24003999995</v>
      </c>
      <c r="H39" s="171">
        <v>9.1339752294275225E-2</v>
      </c>
      <c r="I39" s="164"/>
    </row>
    <row r="40" spans="1:9" ht="42.75" thickBot="1">
      <c r="A40" s="1029" t="s">
        <v>542</v>
      </c>
      <c r="B40" s="146" t="s">
        <v>530</v>
      </c>
      <c r="C40" s="147" t="s">
        <v>107</v>
      </c>
      <c r="D40" s="147" t="s">
        <v>532</v>
      </c>
      <c r="E40" s="147" t="s">
        <v>533</v>
      </c>
      <c r="F40" s="148" t="s">
        <v>107</v>
      </c>
      <c r="G40" s="147" t="s">
        <v>534</v>
      </c>
      <c r="H40" s="172" t="s">
        <v>535</v>
      </c>
      <c r="I40" s="147" t="s">
        <v>536</v>
      </c>
    </row>
    <row r="41" spans="1:9" ht="15.75" thickBot="1">
      <c r="A41" s="1030"/>
      <c r="B41" s="152">
        <v>600</v>
      </c>
      <c r="C41" s="153">
        <v>584137.73</v>
      </c>
      <c r="D41" s="154">
        <v>510836</v>
      </c>
      <c r="E41" s="154">
        <f>'[2]Mbështetja për Shëndetësinë'!G12/1000</f>
        <v>702836</v>
      </c>
      <c r="F41" s="154">
        <f>'[2]Mbështetja për Shëndetësinë'!H12/1000</f>
        <v>695375.30799999996</v>
      </c>
      <c r="G41" s="154">
        <f>E41-F41</f>
        <v>7460.6920000000391</v>
      </c>
      <c r="H41" s="155">
        <f>F41/E41*100</f>
        <v>98.938487499217459</v>
      </c>
      <c r="I41" s="156">
        <f>E41-D41</f>
        <v>192000</v>
      </c>
    </row>
    <row r="42" spans="1:9" ht="15.75" thickBot="1">
      <c r="A42" s="1030"/>
      <c r="B42" s="152">
        <v>601</v>
      </c>
      <c r="C42" s="153">
        <v>96245.744000000006</v>
      </c>
      <c r="D42" s="154">
        <v>95000</v>
      </c>
      <c r="E42" s="154">
        <f>'[2]Mbështetja për Shëndetësinë'!G13/1000</f>
        <v>117000</v>
      </c>
      <c r="F42" s="154">
        <f>'[2]Mbështetja për Shëndetësinë'!H13/1000</f>
        <v>114015.591</v>
      </c>
      <c r="G42" s="154">
        <f t="shared" ref="G42:G49" si="13">E42-F42</f>
        <v>2984.4089999999997</v>
      </c>
      <c r="H42" s="155">
        <f t="shared" ref="H42:H50" si="14">F42/E42*100</f>
        <v>97.449223076923076</v>
      </c>
      <c r="I42" s="156">
        <f t="shared" ref="I42:I49" si="15">E42-D42</f>
        <v>22000</v>
      </c>
    </row>
    <row r="43" spans="1:9" ht="15.75" thickBot="1">
      <c r="A43" s="1030"/>
      <c r="B43" s="152">
        <v>602</v>
      </c>
      <c r="C43" s="153">
        <v>881452.25100000005</v>
      </c>
      <c r="D43" s="154">
        <v>798164</v>
      </c>
      <c r="E43" s="154">
        <f>'[2]Mbështetja për Shëndetësinë'!G14/1000</f>
        <v>898164</v>
      </c>
      <c r="F43" s="154">
        <f>'[2]Mbështetja për Shëndetësinë'!H14/1000</f>
        <v>895915.2</v>
      </c>
      <c r="G43" s="154">
        <f t="shared" si="13"/>
        <v>2248.8000000000466</v>
      </c>
      <c r="H43" s="155">
        <f t="shared" si="14"/>
        <v>99.749622563362578</v>
      </c>
      <c r="I43" s="156">
        <f t="shared" si="15"/>
        <v>100000</v>
      </c>
    </row>
    <row r="44" spans="1:9" ht="15.75" thickBot="1">
      <c r="A44" s="1030"/>
      <c r="B44" s="152">
        <v>603</v>
      </c>
      <c r="C44" s="153">
        <v>0</v>
      </c>
      <c r="D44" s="154">
        <v>0</v>
      </c>
      <c r="E44" s="154">
        <f>'[2]Mbështetja për Shëndetësinë'!G15/1000</f>
        <v>0</v>
      </c>
      <c r="F44" s="154">
        <f>'[2]Mbështetja për Shëndetësinë'!H15/1000</f>
        <v>0</v>
      </c>
      <c r="G44" s="154">
        <f t="shared" si="13"/>
        <v>0</v>
      </c>
      <c r="H44" s="155" t="e">
        <f t="shared" si="14"/>
        <v>#DIV/0!</v>
      </c>
      <c r="I44" s="156">
        <f t="shared" si="15"/>
        <v>0</v>
      </c>
    </row>
    <row r="45" spans="1:9" ht="15.75" thickBot="1">
      <c r="A45" s="1030"/>
      <c r="B45" s="152">
        <v>604</v>
      </c>
      <c r="C45" s="153">
        <v>0</v>
      </c>
      <c r="D45" s="154">
        <v>0</v>
      </c>
      <c r="E45" s="154">
        <f>'[2]Mbështetja për Shëndetësinë'!G16/1000</f>
        <v>0</v>
      </c>
      <c r="F45" s="154">
        <f>'[2]Mbështetja për Shëndetësinë'!H16/1000</f>
        <v>0</v>
      </c>
      <c r="G45" s="154">
        <f t="shared" si="13"/>
        <v>0</v>
      </c>
      <c r="H45" s="155" t="e">
        <f t="shared" si="14"/>
        <v>#DIV/0!</v>
      </c>
      <c r="I45" s="156">
        <f t="shared" si="15"/>
        <v>0</v>
      </c>
    </row>
    <row r="46" spans="1:9" ht="15.75" thickBot="1">
      <c r="A46" s="1030"/>
      <c r="B46" s="152">
        <v>605</v>
      </c>
      <c r="C46" s="153">
        <v>0</v>
      </c>
      <c r="D46" s="154">
        <v>0</v>
      </c>
      <c r="E46" s="154">
        <f>'[2]Mbështetja për Shëndetësinë'!G17/1000</f>
        <v>0</v>
      </c>
      <c r="F46" s="154">
        <f>'[2]Mbështetja për Shëndetësinë'!H17/1000</f>
        <v>0</v>
      </c>
      <c r="G46" s="154">
        <f t="shared" si="13"/>
        <v>0</v>
      </c>
      <c r="H46" s="155" t="e">
        <f t="shared" si="14"/>
        <v>#DIV/0!</v>
      </c>
      <c r="I46" s="156">
        <f t="shared" si="15"/>
        <v>0</v>
      </c>
    </row>
    <row r="47" spans="1:9" ht="15.75" thickBot="1">
      <c r="A47" s="1030"/>
      <c r="B47" s="152">
        <v>606</v>
      </c>
      <c r="C47" s="153">
        <v>4138.1970000000001</v>
      </c>
      <c r="D47" s="154">
        <v>2000</v>
      </c>
      <c r="E47" s="154">
        <f>'[2]Mbështetja për Shëndetësinë'!G18/1000</f>
        <v>4439.96</v>
      </c>
      <c r="F47" s="154">
        <f>'[2]Mbështetja për Shëndetësinë'!H18/1000</f>
        <v>4406.1310000000003</v>
      </c>
      <c r="G47" s="154">
        <f t="shared" si="13"/>
        <v>33.828999999999724</v>
      </c>
      <c r="H47" s="155">
        <f t="shared" si="14"/>
        <v>99.238078721429929</v>
      </c>
      <c r="I47" s="156">
        <f t="shared" si="15"/>
        <v>2439.96</v>
      </c>
    </row>
    <row r="48" spans="1:9" ht="15.75" thickBot="1">
      <c r="A48" s="1030"/>
      <c r="B48" s="152">
        <v>231</v>
      </c>
      <c r="C48" s="153">
        <v>339449.09600000002</v>
      </c>
      <c r="D48" s="154">
        <v>500000</v>
      </c>
      <c r="E48" s="154">
        <f>'[2]Mbështetja për Shëndetësinë'!G22/1000</f>
        <v>197000</v>
      </c>
      <c r="F48" s="154">
        <f>'[2]Mbështetja për Shëndetësinë'!H22/1000</f>
        <v>193284.8</v>
      </c>
      <c r="G48" s="154">
        <f t="shared" si="13"/>
        <v>3715.2000000000116</v>
      </c>
      <c r="H48" s="155">
        <f t="shared" si="14"/>
        <v>98.114111675126907</v>
      </c>
      <c r="I48" s="156">
        <f t="shared" si="15"/>
        <v>-303000</v>
      </c>
    </row>
    <row r="49" spans="1:9" ht="15.75" thickBot="1">
      <c r="A49" s="1030"/>
      <c r="B49" s="152" t="s">
        <v>538</v>
      </c>
      <c r="C49" s="153">
        <v>0</v>
      </c>
      <c r="D49" s="154">
        <v>0</v>
      </c>
      <c r="E49" s="154">
        <f>'[2]Aneksi 2PMA'!G61/1000</f>
        <v>0</v>
      </c>
      <c r="F49" s="158"/>
      <c r="G49" s="154">
        <f t="shared" si="13"/>
        <v>0</v>
      </c>
      <c r="H49" s="155" t="e">
        <f t="shared" si="14"/>
        <v>#DIV/0!</v>
      </c>
      <c r="I49" s="156">
        <f t="shared" si="15"/>
        <v>0</v>
      </c>
    </row>
    <row r="50" spans="1:9" ht="29.25" thickBot="1">
      <c r="A50" s="1031"/>
      <c r="B50" s="159" t="s">
        <v>539</v>
      </c>
      <c r="C50" s="173">
        <v>1905423.0180000002</v>
      </c>
      <c r="D50" s="160">
        <v>1906000</v>
      </c>
      <c r="E50" s="160">
        <f t="shared" ref="E50:G50" si="16">SUM(E41:E49)</f>
        <v>1919439.96</v>
      </c>
      <c r="F50" s="160">
        <f t="shared" si="16"/>
        <v>1902997.03</v>
      </c>
      <c r="G50" s="160">
        <f t="shared" si="16"/>
        <v>16442.930000000095</v>
      </c>
      <c r="H50" s="161">
        <f t="shared" si="14"/>
        <v>99.143347521013368</v>
      </c>
      <c r="I50" s="160">
        <f t="shared" ref="I50" si="17">SUM(I41:I49)</f>
        <v>13439.960000000021</v>
      </c>
    </row>
    <row r="51" spans="1:9">
      <c r="A51" s="88"/>
      <c r="B51" s="88"/>
      <c r="C51" s="162">
        <v>0</v>
      </c>
      <c r="D51" s="164">
        <v>0</v>
      </c>
      <c r="E51" s="164">
        <v>37726.289000000106</v>
      </c>
      <c r="F51" s="165">
        <v>0</v>
      </c>
      <c r="G51" s="164">
        <v>0</v>
      </c>
      <c r="H51" s="171"/>
      <c r="I51" s="162"/>
    </row>
    <row r="52" spans="1:9" ht="15.75" thickBot="1">
      <c r="A52" s="88"/>
      <c r="B52" s="88"/>
      <c r="C52" s="162">
        <v>1905423.0179999999</v>
      </c>
      <c r="D52" s="164">
        <v>1906000</v>
      </c>
      <c r="E52" s="164">
        <v>1943726.2890000001</v>
      </c>
      <c r="F52" s="165">
        <v>1905423.0179999999</v>
      </c>
      <c r="G52" s="164">
        <v>38303.271000000001</v>
      </c>
      <c r="H52" s="171"/>
      <c r="I52" s="162"/>
    </row>
    <row r="53" spans="1:9" ht="42.75" thickBot="1">
      <c r="A53" s="1025" t="s">
        <v>543</v>
      </c>
      <c r="B53" s="146" t="s">
        <v>530</v>
      </c>
      <c r="C53" s="147" t="s">
        <v>107</v>
      </c>
      <c r="D53" s="147" t="s">
        <v>532</v>
      </c>
      <c r="E53" s="147" t="s">
        <v>533</v>
      </c>
      <c r="F53" s="148" t="s">
        <v>107</v>
      </c>
      <c r="G53" s="147" t="s">
        <v>534</v>
      </c>
      <c r="H53" s="172" t="s">
        <v>535</v>
      </c>
      <c r="I53" s="147" t="s">
        <v>536</v>
      </c>
    </row>
    <row r="54" spans="1:9" ht="15.75" thickBot="1">
      <c r="A54" s="1026"/>
      <c r="B54" s="152">
        <v>600</v>
      </c>
      <c r="C54" s="153">
        <v>418063.96600000001</v>
      </c>
      <c r="D54" s="154">
        <v>549000</v>
      </c>
      <c r="E54" s="154">
        <f>'[2]Arsimi Ushtarak'!G12/1000</f>
        <v>503290</v>
      </c>
      <c r="F54" s="154">
        <f>'[2]Arsimi Ushtarak'!H12/1000</f>
        <v>478323.136</v>
      </c>
      <c r="G54" s="154">
        <f>E54-F54</f>
        <v>24966.864000000001</v>
      </c>
      <c r="H54" s="155">
        <f>F54/E54*100</f>
        <v>95.039268811222158</v>
      </c>
      <c r="I54" s="156">
        <f>E54-D54</f>
        <v>-45710</v>
      </c>
    </row>
    <row r="55" spans="1:9" ht="15.75" thickBot="1">
      <c r="A55" s="1026"/>
      <c r="B55" s="152">
        <v>601</v>
      </c>
      <c r="C55" s="153">
        <v>99767.19</v>
      </c>
      <c r="D55" s="154">
        <v>100000</v>
      </c>
      <c r="E55" s="154">
        <f>'[2]Arsimi Ushtarak'!G13/1000</f>
        <v>119700</v>
      </c>
      <c r="F55" s="154">
        <f>'[2]Arsimi Ushtarak'!H13/1000</f>
        <v>117426.72500000001</v>
      </c>
      <c r="G55" s="154">
        <f t="shared" ref="G55:G62" si="18">E55-F55</f>
        <v>2273.2749999999942</v>
      </c>
      <c r="H55" s="155">
        <f t="shared" ref="H55:H63" si="19">F55/E55*100</f>
        <v>98.100856307435265</v>
      </c>
      <c r="I55" s="156">
        <f t="shared" ref="I55:I62" si="20">E55-D55</f>
        <v>19700</v>
      </c>
    </row>
    <row r="56" spans="1:9" ht="15.75" thickBot="1">
      <c r="A56" s="1026"/>
      <c r="B56" s="152">
        <v>602</v>
      </c>
      <c r="C56" s="153">
        <v>100127.602</v>
      </c>
      <c r="D56" s="154">
        <v>81000</v>
      </c>
      <c r="E56" s="154">
        <f>'[2]Arsimi Ushtarak'!G14/1000</f>
        <v>107510</v>
      </c>
      <c r="F56" s="154">
        <f>'[2]Arsimi Ushtarak'!H14/1000</f>
        <v>100983.829</v>
      </c>
      <c r="G56" s="154">
        <f t="shared" si="18"/>
        <v>6526.1710000000021</v>
      </c>
      <c r="H56" s="155">
        <f t="shared" si="19"/>
        <v>93.929707934145654</v>
      </c>
      <c r="I56" s="156">
        <f t="shared" si="20"/>
        <v>26510</v>
      </c>
    </row>
    <row r="57" spans="1:9" ht="15.75" thickBot="1">
      <c r="A57" s="1026"/>
      <c r="B57" s="152">
        <v>603</v>
      </c>
      <c r="C57" s="153">
        <v>0</v>
      </c>
      <c r="D57" s="154">
        <v>0</v>
      </c>
      <c r="E57" s="154">
        <f>'[2]Arsimi Ushtarak'!G15/1000</f>
        <v>0</v>
      </c>
      <c r="F57" s="154">
        <f>'[2]Arsimi Ushtarak'!H15/1000</f>
        <v>0</v>
      </c>
      <c r="G57" s="154">
        <f t="shared" si="18"/>
        <v>0</v>
      </c>
      <c r="H57" s="155" t="e">
        <f t="shared" si="19"/>
        <v>#DIV/0!</v>
      </c>
      <c r="I57" s="156">
        <f t="shared" si="20"/>
        <v>0</v>
      </c>
    </row>
    <row r="58" spans="1:9" ht="15.75" thickBot="1">
      <c r="A58" s="1026"/>
      <c r="B58" s="152">
        <v>604</v>
      </c>
      <c r="C58" s="153">
        <v>0</v>
      </c>
      <c r="D58" s="154">
        <v>0</v>
      </c>
      <c r="E58" s="154">
        <f>'[2]Arsimi Ushtarak'!G16/1000</f>
        <v>0</v>
      </c>
      <c r="F58" s="154">
        <f>'[2]Arsimi Ushtarak'!H16/1000</f>
        <v>0</v>
      </c>
      <c r="G58" s="154">
        <f t="shared" si="18"/>
        <v>0</v>
      </c>
      <c r="H58" s="155" t="e">
        <f t="shared" si="19"/>
        <v>#DIV/0!</v>
      </c>
      <c r="I58" s="156">
        <f t="shared" si="20"/>
        <v>0</v>
      </c>
    </row>
    <row r="59" spans="1:9" ht="15.75" thickBot="1">
      <c r="A59" s="1026"/>
      <c r="B59" s="152">
        <v>605</v>
      </c>
      <c r="C59" s="153">
        <v>0</v>
      </c>
      <c r="D59" s="154">
        <v>0</v>
      </c>
      <c r="E59" s="154">
        <f>'[2]Arsimi Ushtarak'!G17/1000</f>
        <v>0</v>
      </c>
      <c r="F59" s="154">
        <f>'[2]Arsimi Ushtarak'!H17/1000</f>
        <v>0</v>
      </c>
      <c r="G59" s="154">
        <f t="shared" si="18"/>
        <v>0</v>
      </c>
      <c r="H59" s="155" t="e">
        <f t="shared" si="19"/>
        <v>#DIV/0!</v>
      </c>
      <c r="I59" s="156">
        <f t="shared" si="20"/>
        <v>0</v>
      </c>
    </row>
    <row r="60" spans="1:9" ht="15.75" thickBot="1">
      <c r="A60" s="1026"/>
      <c r="B60" s="152">
        <v>606</v>
      </c>
      <c r="C60" s="153">
        <v>197765.95800000001</v>
      </c>
      <c r="D60" s="154">
        <v>140000</v>
      </c>
      <c r="E60" s="154">
        <f>'[2]Arsimi Ushtarak'!G18/1000</f>
        <v>259270.85500000001</v>
      </c>
      <c r="F60" s="154">
        <f>'[2]Arsimi Ushtarak'!H18/1000</f>
        <v>249232.26699999999</v>
      </c>
      <c r="G60" s="154">
        <f t="shared" si="18"/>
        <v>10038.588000000018</v>
      </c>
      <c r="H60" s="155">
        <f t="shared" si="19"/>
        <v>96.128146374184638</v>
      </c>
      <c r="I60" s="156">
        <f t="shared" si="20"/>
        <v>119270.85500000001</v>
      </c>
    </row>
    <row r="61" spans="1:9" ht="15.75" thickBot="1">
      <c r="A61" s="1026"/>
      <c r="B61" s="152">
        <v>231</v>
      </c>
      <c r="C61" s="153">
        <v>356148.7</v>
      </c>
      <c r="D61" s="154">
        <v>557000</v>
      </c>
      <c r="E61" s="154">
        <f>'[2]Arsimi Ushtarak'!G22/1000</f>
        <v>462031</v>
      </c>
      <c r="F61" s="154">
        <f>'[2]Arsimi Ushtarak'!H22/1000</f>
        <v>396904.84899999999</v>
      </c>
      <c r="G61" s="154">
        <f t="shared" si="18"/>
        <v>65126.151000000013</v>
      </c>
      <c r="H61" s="155">
        <f t="shared" si="19"/>
        <v>85.904376329726801</v>
      </c>
      <c r="I61" s="156">
        <f t="shared" si="20"/>
        <v>-94969</v>
      </c>
    </row>
    <row r="62" spans="1:9" ht="15.75" thickBot="1">
      <c r="A62" s="1026"/>
      <c r="B62" s="152" t="s">
        <v>538</v>
      </c>
      <c r="C62" s="153">
        <v>0</v>
      </c>
      <c r="D62" s="154">
        <v>0</v>
      </c>
      <c r="E62" s="154">
        <f>'[2]Aneksi 2PMA'!G74/1000</f>
        <v>0</v>
      </c>
      <c r="F62" s="158"/>
      <c r="G62" s="154">
        <f t="shared" si="18"/>
        <v>0</v>
      </c>
      <c r="H62" s="155" t="e">
        <f t="shared" si="19"/>
        <v>#DIV/0!</v>
      </c>
      <c r="I62" s="156">
        <f t="shared" si="20"/>
        <v>0</v>
      </c>
    </row>
    <row r="63" spans="1:9" ht="29.25" thickBot="1">
      <c r="A63" s="1027"/>
      <c r="B63" s="159" t="s">
        <v>539</v>
      </c>
      <c r="C63" s="173">
        <v>1171873.416</v>
      </c>
      <c r="D63" s="160">
        <v>1427000</v>
      </c>
      <c r="E63" s="160">
        <f t="shared" ref="E63:G63" si="21">SUM(E54:E62)</f>
        <v>1451801.855</v>
      </c>
      <c r="F63" s="160">
        <f t="shared" si="21"/>
        <v>1342870.8060000001</v>
      </c>
      <c r="G63" s="160">
        <f t="shared" si="21"/>
        <v>108931.04900000003</v>
      </c>
      <c r="H63" s="161">
        <f t="shared" si="19"/>
        <v>92.496837731344556</v>
      </c>
      <c r="I63" s="160">
        <f t="shared" ref="I63" si="22">SUM(I54:I62)</f>
        <v>24801.85500000001</v>
      </c>
    </row>
    <row r="64" spans="1:9">
      <c r="A64" s="88"/>
      <c r="B64" s="88"/>
      <c r="C64" s="162">
        <v>0</v>
      </c>
      <c r="D64" s="164">
        <v>0</v>
      </c>
      <c r="E64" s="164">
        <v>-61668.476999999955</v>
      </c>
      <c r="F64" s="165">
        <v>0</v>
      </c>
      <c r="G64" s="164">
        <v>0</v>
      </c>
      <c r="H64" s="171"/>
      <c r="I64" s="164"/>
    </row>
    <row r="65" spans="1:9" ht="15.75" thickBot="1">
      <c r="A65" s="88"/>
      <c r="B65" s="88"/>
      <c r="C65" s="162">
        <v>1171873.416</v>
      </c>
      <c r="D65" s="164">
        <v>1327000</v>
      </c>
      <c r="E65" s="164">
        <v>1265331.523</v>
      </c>
      <c r="F65" s="165">
        <v>1171873.416</v>
      </c>
      <c r="G65" s="164">
        <v>93458.107000000004</v>
      </c>
      <c r="H65" s="171"/>
      <c r="I65" s="164"/>
    </row>
    <row r="66" spans="1:9" ht="42.75" thickBot="1">
      <c r="A66" s="1025" t="s">
        <v>544</v>
      </c>
      <c r="B66" s="146" t="s">
        <v>530</v>
      </c>
      <c r="C66" s="147" t="s">
        <v>107</v>
      </c>
      <c r="D66" s="147" t="s">
        <v>532</v>
      </c>
      <c r="E66" s="147" t="s">
        <v>533</v>
      </c>
      <c r="F66" s="148" t="s">
        <v>107</v>
      </c>
      <c r="G66" s="147" t="s">
        <v>534</v>
      </c>
      <c r="H66" s="172" t="s">
        <v>535</v>
      </c>
      <c r="I66" s="147" t="s">
        <v>536</v>
      </c>
    </row>
    <row r="67" spans="1:9" ht="15.75" thickBot="1">
      <c r="A67" s="1026"/>
      <c r="B67" s="152">
        <v>600</v>
      </c>
      <c r="C67" s="153"/>
      <c r="D67" s="154"/>
      <c r="E67" s="154"/>
      <c r="F67" s="154"/>
      <c r="G67" s="154"/>
      <c r="H67" s="155"/>
      <c r="I67" s="156">
        <f>E67-D67</f>
        <v>0</v>
      </c>
    </row>
    <row r="68" spans="1:9" ht="15.75" thickBot="1">
      <c r="A68" s="1026"/>
      <c r="B68" s="152">
        <v>601</v>
      </c>
      <c r="C68" s="153"/>
      <c r="D68" s="154"/>
      <c r="E68" s="154"/>
      <c r="F68" s="154"/>
      <c r="G68" s="154"/>
      <c r="H68" s="155"/>
      <c r="I68" s="156">
        <f t="shared" ref="I68:I75" si="23">E68-D68</f>
        <v>0</v>
      </c>
    </row>
    <row r="69" spans="1:9" ht="15.75" thickBot="1">
      <c r="A69" s="1026"/>
      <c r="B69" s="152">
        <v>602</v>
      </c>
      <c r="C69" s="153"/>
      <c r="D69" s="154"/>
      <c r="E69" s="154"/>
      <c r="F69" s="154"/>
      <c r="G69" s="154"/>
      <c r="H69" s="155"/>
      <c r="I69" s="156">
        <f t="shared" si="23"/>
        <v>0</v>
      </c>
    </row>
    <row r="70" spans="1:9" ht="15.75" thickBot="1">
      <c r="A70" s="1026"/>
      <c r="B70" s="152">
        <v>603</v>
      </c>
      <c r="C70" s="153"/>
      <c r="D70" s="154"/>
      <c r="E70" s="154"/>
      <c r="F70" s="154"/>
      <c r="G70" s="154"/>
      <c r="H70" s="155"/>
      <c r="I70" s="156">
        <f t="shared" si="23"/>
        <v>0</v>
      </c>
    </row>
    <row r="71" spans="1:9" ht="15.75" thickBot="1">
      <c r="A71" s="1026"/>
      <c r="B71" s="152">
        <v>604</v>
      </c>
      <c r="C71" s="153">
        <v>5243000</v>
      </c>
      <c r="D71" s="154">
        <v>5200000</v>
      </c>
      <c r="E71" s="154">
        <f>'[2]Mbështetje për Ushtarakët'!G16/1000</f>
        <v>5228958</v>
      </c>
      <c r="F71" s="154">
        <f>'[2]Mbështetje për Ushtarakët'!H16/1000</f>
        <v>5228958</v>
      </c>
      <c r="G71" s="154">
        <f t="shared" ref="G71" si="24">E71-F71</f>
        <v>0</v>
      </c>
      <c r="H71" s="155">
        <f t="shared" ref="H71:H76" si="25">F71/E71*100</f>
        <v>100</v>
      </c>
      <c r="I71" s="156">
        <f t="shared" si="23"/>
        <v>28958</v>
      </c>
    </row>
    <row r="72" spans="1:9" ht="15.75" thickBot="1">
      <c r="A72" s="1026"/>
      <c r="B72" s="152">
        <v>605</v>
      </c>
      <c r="C72" s="153"/>
      <c r="D72" s="154"/>
      <c r="E72" s="154"/>
      <c r="F72" s="154"/>
      <c r="G72" s="154"/>
      <c r="H72" s="155" t="e">
        <f t="shared" si="25"/>
        <v>#DIV/0!</v>
      </c>
      <c r="I72" s="156">
        <f t="shared" si="23"/>
        <v>0</v>
      </c>
    </row>
    <row r="73" spans="1:9" ht="15.75" thickBot="1">
      <c r="A73" s="1026"/>
      <c r="B73" s="152">
        <v>606</v>
      </c>
      <c r="C73" s="153"/>
      <c r="D73" s="154"/>
      <c r="E73" s="154"/>
      <c r="F73" s="154"/>
      <c r="G73" s="154"/>
      <c r="H73" s="155" t="e">
        <f t="shared" si="25"/>
        <v>#DIV/0!</v>
      </c>
      <c r="I73" s="156">
        <f t="shared" si="23"/>
        <v>0</v>
      </c>
    </row>
    <row r="74" spans="1:9" ht="15.75" thickBot="1">
      <c r="A74" s="1026"/>
      <c r="B74" s="152">
        <v>231</v>
      </c>
      <c r="C74" s="153"/>
      <c r="D74" s="154"/>
      <c r="E74" s="154"/>
      <c r="F74" s="154"/>
      <c r="G74" s="154"/>
      <c r="H74" s="155" t="e">
        <f t="shared" si="25"/>
        <v>#DIV/0!</v>
      </c>
      <c r="I74" s="156">
        <f t="shared" si="23"/>
        <v>0</v>
      </c>
    </row>
    <row r="75" spans="1:9" ht="15.75" thickBot="1">
      <c r="A75" s="1026"/>
      <c r="B75" s="152" t="s">
        <v>538</v>
      </c>
      <c r="C75" s="153"/>
      <c r="D75" s="154"/>
      <c r="E75" s="154"/>
      <c r="F75" s="158"/>
      <c r="G75" s="154"/>
      <c r="H75" s="155" t="e">
        <f t="shared" si="25"/>
        <v>#DIV/0!</v>
      </c>
      <c r="I75" s="156">
        <f t="shared" si="23"/>
        <v>0</v>
      </c>
    </row>
    <row r="76" spans="1:9" ht="29.25" thickBot="1">
      <c r="A76" s="1027"/>
      <c r="B76" s="159" t="s">
        <v>539</v>
      </c>
      <c r="C76" s="173">
        <v>5243000</v>
      </c>
      <c r="D76" s="160">
        <v>5200000</v>
      </c>
      <c r="E76" s="160">
        <f t="shared" ref="E76:G76" si="26">SUM(E67:E75)</f>
        <v>5228958</v>
      </c>
      <c r="F76" s="160">
        <f t="shared" si="26"/>
        <v>5228958</v>
      </c>
      <c r="G76" s="160">
        <f t="shared" si="26"/>
        <v>0</v>
      </c>
      <c r="H76" s="161">
        <f t="shared" si="25"/>
        <v>100</v>
      </c>
      <c r="I76" s="160">
        <f t="shared" ref="I76" si="27">SUM(I67:I75)</f>
        <v>28958</v>
      </c>
    </row>
    <row r="77" spans="1:9">
      <c r="A77" s="88"/>
      <c r="B77" s="88"/>
      <c r="C77" s="162">
        <v>0</v>
      </c>
      <c r="D77" s="164">
        <v>0</v>
      </c>
      <c r="E77" s="164">
        <v>43000</v>
      </c>
      <c r="F77" s="165">
        <v>0</v>
      </c>
      <c r="G77" s="164">
        <v>0</v>
      </c>
      <c r="H77" s="171"/>
      <c r="I77" s="162"/>
    </row>
    <row r="78" spans="1:9" ht="15.75" thickBot="1">
      <c r="A78" s="88"/>
      <c r="B78" s="88"/>
      <c r="C78" s="162">
        <v>5243000</v>
      </c>
      <c r="D78" s="164">
        <v>5200000</v>
      </c>
      <c r="E78" s="164">
        <v>5243000</v>
      </c>
      <c r="F78" s="165">
        <v>5243000</v>
      </c>
      <c r="G78" s="164">
        <v>0</v>
      </c>
      <c r="H78" s="171"/>
      <c r="I78" s="162"/>
    </row>
    <row r="79" spans="1:9" ht="42.75" thickBot="1">
      <c r="A79" s="1025" t="s">
        <v>545</v>
      </c>
      <c r="B79" s="146" t="s">
        <v>530</v>
      </c>
      <c r="C79" s="147" t="s">
        <v>107</v>
      </c>
      <c r="D79" s="147" t="s">
        <v>532</v>
      </c>
      <c r="E79" s="147" t="s">
        <v>533</v>
      </c>
      <c r="F79" s="148" t="s">
        <v>107</v>
      </c>
      <c r="G79" s="147" t="s">
        <v>534</v>
      </c>
      <c r="H79" s="172" t="s">
        <v>535</v>
      </c>
      <c r="I79" s="147" t="s">
        <v>536</v>
      </c>
    </row>
    <row r="80" spans="1:9" ht="15.75" thickBot="1">
      <c r="A80" s="1026"/>
      <c r="B80" s="152">
        <v>600</v>
      </c>
      <c r="C80" s="153">
        <v>183918.084</v>
      </c>
      <c r="D80" s="154">
        <v>164000</v>
      </c>
      <c r="E80" s="154">
        <f>'[2]Emergjencat Civile '!G12/1000</f>
        <v>205402.02100000001</v>
      </c>
      <c r="F80" s="154">
        <f>'[2]Emergjencat Civile '!H12/1000</f>
        <v>202443.35699999999</v>
      </c>
      <c r="G80" s="154">
        <f>E80-F80</f>
        <v>2958.6640000000189</v>
      </c>
      <c r="H80" s="155">
        <f>F80/E80*100</f>
        <v>98.559574055992357</v>
      </c>
      <c r="I80" s="156">
        <f>E80-D80</f>
        <v>41402.021000000008</v>
      </c>
    </row>
    <row r="81" spans="1:9" ht="15.75" thickBot="1">
      <c r="A81" s="1026"/>
      <c r="B81" s="152">
        <v>601</v>
      </c>
      <c r="C81" s="153">
        <v>30866.06</v>
      </c>
      <c r="D81" s="154">
        <v>27000</v>
      </c>
      <c r="E81" s="154">
        <f>'[2]Emergjencat Civile '!G13/1000</f>
        <v>35020</v>
      </c>
      <c r="F81" s="154">
        <f>'[2]Emergjencat Civile '!H13/1000</f>
        <v>32774.834999999999</v>
      </c>
      <c r="G81" s="154">
        <f t="shared" ref="G81:G88" si="28">E81-F81</f>
        <v>2245.1650000000009</v>
      </c>
      <c r="H81" s="155">
        <f t="shared" ref="H81:H89" si="29">F81/E81*100</f>
        <v>93.588906339234725</v>
      </c>
      <c r="I81" s="156">
        <f t="shared" ref="I81:I88" si="30">E81-D81</f>
        <v>8020</v>
      </c>
    </row>
    <row r="82" spans="1:9" ht="15.75" thickBot="1">
      <c r="A82" s="1026"/>
      <c r="B82" s="152">
        <v>602</v>
      </c>
      <c r="C82" s="153">
        <v>256893.74600000001</v>
      </c>
      <c r="D82" s="154">
        <v>441000</v>
      </c>
      <c r="E82" s="154">
        <f>'[2]Emergjencat Civile '!G14/1000</f>
        <v>281000</v>
      </c>
      <c r="F82" s="154">
        <f>'[2]Emergjencat Civile '!H14/1000</f>
        <v>236139.72399999999</v>
      </c>
      <c r="G82" s="154">
        <f t="shared" si="28"/>
        <v>44860.276000000013</v>
      </c>
      <c r="H82" s="155">
        <f t="shared" si="29"/>
        <v>84.035488967971531</v>
      </c>
      <c r="I82" s="156">
        <f t="shared" si="30"/>
        <v>-160000</v>
      </c>
    </row>
    <row r="83" spans="1:9" ht="15.75" thickBot="1">
      <c r="A83" s="1026"/>
      <c r="B83" s="152">
        <v>603</v>
      </c>
      <c r="C83" s="153">
        <v>0</v>
      </c>
      <c r="D83" s="154">
        <v>0</v>
      </c>
      <c r="E83" s="154">
        <f>'[2]Emergjencat Civile '!G15/1000</f>
        <v>0</v>
      </c>
      <c r="F83" s="154">
        <f>'[2]Emergjencat Civile '!H15/1000</f>
        <v>0</v>
      </c>
      <c r="G83" s="154">
        <f t="shared" si="28"/>
        <v>0</v>
      </c>
      <c r="H83" s="155" t="e">
        <f t="shared" si="29"/>
        <v>#DIV/0!</v>
      </c>
      <c r="I83" s="156">
        <f t="shared" si="30"/>
        <v>0</v>
      </c>
    </row>
    <row r="84" spans="1:9" ht="15.75" thickBot="1">
      <c r="A84" s="1026"/>
      <c r="B84" s="152">
        <v>604</v>
      </c>
      <c r="C84" s="153">
        <v>595063.24899999995</v>
      </c>
      <c r="D84" s="154">
        <v>800000</v>
      </c>
      <c r="E84" s="154">
        <f>'[2]Emergjencat Civile '!G16/1000</f>
        <v>639272</v>
      </c>
      <c r="F84" s="154">
        <f>'[2]Emergjencat Civile '!H16/1000</f>
        <v>590130.88582999993</v>
      </c>
      <c r="G84" s="154">
        <f t="shared" si="28"/>
        <v>49141.114170000073</v>
      </c>
      <c r="H84" s="155">
        <f t="shared" si="29"/>
        <v>92.312956899410565</v>
      </c>
      <c r="I84" s="156">
        <f t="shared" si="30"/>
        <v>-160728</v>
      </c>
    </row>
    <row r="85" spans="1:9" ht="15.75" thickBot="1">
      <c r="A85" s="1026"/>
      <c r="B85" s="152">
        <v>605</v>
      </c>
      <c r="C85" s="153">
        <v>11182.824000000001</v>
      </c>
      <c r="D85" s="154">
        <v>18000</v>
      </c>
      <c r="E85" s="154">
        <f>'[2]Emergjencat Civile '!G17/1000</f>
        <v>11000</v>
      </c>
      <c r="F85" s="154">
        <f>'[2]Emergjencat Civile '!H17/1000</f>
        <v>10978.573</v>
      </c>
      <c r="G85" s="154">
        <f t="shared" si="28"/>
        <v>21.42699999999968</v>
      </c>
      <c r="H85" s="155">
        <f t="shared" si="29"/>
        <v>99.805209090909102</v>
      </c>
      <c r="I85" s="156">
        <f t="shared" si="30"/>
        <v>-7000</v>
      </c>
    </row>
    <row r="86" spans="1:9" ht="15.75" thickBot="1">
      <c r="A86" s="1026"/>
      <c r="B86" s="152">
        <v>606</v>
      </c>
      <c r="C86" s="153">
        <v>1573.942</v>
      </c>
      <c r="D86" s="154">
        <v>0</v>
      </c>
      <c r="E86" s="154">
        <f>'[2]Emergjencat Civile '!G18/1000</f>
        <v>985.46</v>
      </c>
      <c r="F86" s="154">
        <f>'[2]Emergjencat Civile '!H18/1000</f>
        <v>623.755</v>
      </c>
      <c r="G86" s="154">
        <f t="shared" si="28"/>
        <v>361.70500000000004</v>
      </c>
      <c r="H86" s="155">
        <f t="shared" si="29"/>
        <v>63.295821240841846</v>
      </c>
      <c r="I86" s="156">
        <f t="shared" si="30"/>
        <v>985.46</v>
      </c>
    </row>
    <row r="87" spans="1:9" ht="15.75" thickBot="1">
      <c r="A87" s="1026"/>
      <c r="B87" s="152">
        <v>231</v>
      </c>
      <c r="C87" s="153">
        <v>1275168.1410000001</v>
      </c>
      <c r="D87" s="154">
        <v>2000000</v>
      </c>
      <c r="E87" s="154">
        <f>'[2]Emergjencat Civile '!G22/1000</f>
        <v>1814180</v>
      </c>
      <c r="F87" s="154">
        <f>'[2]Emergjencat Civile '!H22/1000</f>
        <v>1327225.8238899999</v>
      </c>
      <c r="G87" s="154">
        <f t="shared" si="28"/>
        <v>486954.17611000012</v>
      </c>
      <c r="H87" s="155">
        <f t="shared" si="29"/>
        <v>73.158442044890805</v>
      </c>
      <c r="I87" s="156">
        <f t="shared" si="30"/>
        <v>-185820</v>
      </c>
    </row>
    <row r="88" spans="1:9" ht="15.75" thickBot="1">
      <c r="A88" s="1026"/>
      <c r="B88" s="152" t="s">
        <v>538</v>
      </c>
      <c r="C88" s="153"/>
      <c r="D88" s="154">
        <v>2012050</v>
      </c>
      <c r="E88" s="154"/>
      <c r="F88" s="154">
        <f>'[2]Emergjencat Civile '!H24/1000</f>
        <v>0</v>
      </c>
      <c r="G88" s="154">
        <f t="shared" si="28"/>
        <v>0</v>
      </c>
      <c r="H88" s="155" t="e">
        <f t="shared" si="29"/>
        <v>#DIV/0!</v>
      </c>
      <c r="I88" s="156">
        <f t="shared" si="30"/>
        <v>-2012050</v>
      </c>
    </row>
    <row r="89" spans="1:9" ht="29.25" thickBot="1">
      <c r="A89" s="1027"/>
      <c r="B89" s="159" t="s">
        <v>539</v>
      </c>
      <c r="C89" s="173">
        <v>2354666.0460000001</v>
      </c>
      <c r="D89" s="160">
        <v>5462050</v>
      </c>
      <c r="E89" s="160">
        <f t="shared" ref="E89:I89" si="31">SUM(E80:E88)</f>
        <v>2986859.4809999997</v>
      </c>
      <c r="F89" s="160">
        <f t="shared" si="31"/>
        <v>2400316.9537199996</v>
      </c>
      <c r="G89" s="160">
        <f t="shared" si="31"/>
        <v>586542.52728000027</v>
      </c>
      <c r="H89" s="161">
        <f t="shared" si="29"/>
        <v>80.362567070492858</v>
      </c>
      <c r="I89" s="160">
        <f t="shared" si="31"/>
        <v>-2475190.5189999999</v>
      </c>
    </row>
    <row r="90" spans="1:9">
      <c r="A90" s="88"/>
      <c r="B90" s="88"/>
      <c r="C90" s="162">
        <v>0</v>
      </c>
      <c r="D90" s="164">
        <v>0</v>
      </c>
      <c r="E90" s="164">
        <v>-2374844</v>
      </c>
      <c r="F90" s="165">
        <v>0</v>
      </c>
      <c r="G90" s="164">
        <v>0</v>
      </c>
      <c r="H90" s="171"/>
      <c r="I90" s="164"/>
    </row>
    <row r="91" spans="1:9" ht="15.75" thickBot="1">
      <c r="A91" s="88"/>
      <c r="B91" s="88"/>
      <c r="C91" s="162">
        <v>2354666.0460000001</v>
      </c>
      <c r="D91" s="164">
        <v>5382050</v>
      </c>
      <c r="E91" s="164">
        <v>3007206</v>
      </c>
      <c r="F91" s="165">
        <v>2354666.0460000001</v>
      </c>
      <c r="G91" s="164">
        <v>652539.95400000003</v>
      </c>
      <c r="H91" s="171"/>
      <c r="I91" s="164"/>
    </row>
    <row r="92" spans="1:9" ht="42">
      <c r="A92" s="1022" t="s">
        <v>546</v>
      </c>
      <c r="B92" s="174" t="s">
        <v>530</v>
      </c>
      <c r="C92" s="175" t="s">
        <v>107</v>
      </c>
      <c r="D92" s="175" t="s">
        <v>532</v>
      </c>
      <c r="E92" s="175" t="s">
        <v>533</v>
      </c>
      <c r="F92" s="176" t="s">
        <v>107</v>
      </c>
      <c r="G92" s="177" t="s">
        <v>534</v>
      </c>
      <c r="H92" s="178" t="s">
        <v>535</v>
      </c>
      <c r="I92" s="179" t="s">
        <v>536</v>
      </c>
    </row>
    <row r="93" spans="1:9">
      <c r="A93" s="1023"/>
      <c r="B93" s="180">
        <v>600</v>
      </c>
      <c r="C93" s="181">
        <v>8488505.2215</v>
      </c>
      <c r="D93" s="181">
        <v>8866684</v>
      </c>
      <c r="E93" s="181">
        <f>E2+E15+E28+E41+E54+E67+E80</f>
        <v>9928530.0979999993</v>
      </c>
      <c r="F93" s="181">
        <f t="shared" ref="F93:G93" si="32">F2+F15+F28+F41+F54+F67+F80</f>
        <v>9871511.7870000005</v>
      </c>
      <c r="G93" s="181">
        <f t="shared" si="32"/>
        <v>57018.311000000074</v>
      </c>
      <c r="H93" s="182">
        <f>F93/E93*100</f>
        <v>99.425712462598213</v>
      </c>
      <c r="I93" s="181">
        <f>I2+I15+I28+I41+I54+I67+I80</f>
        <v>123526.09800000006</v>
      </c>
    </row>
    <row r="94" spans="1:9">
      <c r="A94" s="1023"/>
      <c r="B94" s="180">
        <v>601</v>
      </c>
      <c r="C94" s="181">
        <v>1460354.3624999998</v>
      </c>
      <c r="D94" s="181">
        <v>1526300</v>
      </c>
      <c r="E94" s="181">
        <f t="shared" ref="E94:G101" si="33">E3+E16+E29+E42+E55+E68+E81</f>
        <v>1664860</v>
      </c>
      <c r="F94" s="181">
        <f t="shared" si="33"/>
        <v>1649777.8230000001</v>
      </c>
      <c r="G94" s="181">
        <f t="shared" si="33"/>
        <v>15082.176999999974</v>
      </c>
      <c r="H94" s="182">
        <f t="shared" ref="H94:H103" si="34">F94/E94*100</f>
        <v>99.094087370709858</v>
      </c>
      <c r="I94" s="181">
        <f t="shared" ref="I94:I101" si="35">I3+I16+I29+I42+I55+I68+I81</f>
        <v>-28605198</v>
      </c>
    </row>
    <row r="95" spans="1:9">
      <c r="A95" s="1023"/>
      <c r="B95" s="180">
        <v>602</v>
      </c>
      <c r="C95" s="181">
        <v>6750920.5382500002</v>
      </c>
      <c r="D95" s="181">
        <v>7333836</v>
      </c>
      <c r="E95" s="181">
        <f t="shared" si="33"/>
        <v>7920268</v>
      </c>
      <c r="F95" s="181">
        <f t="shared" si="33"/>
        <v>7731424.9160400005</v>
      </c>
      <c r="G95" s="181">
        <f t="shared" si="33"/>
        <v>188843.08396000005</v>
      </c>
      <c r="H95" s="182">
        <f t="shared" si="34"/>
        <v>97.61569830768353</v>
      </c>
      <c r="I95" s="181">
        <f t="shared" si="35"/>
        <v>-7327108</v>
      </c>
    </row>
    <row r="96" spans="1:9">
      <c r="A96" s="1023"/>
      <c r="B96" s="180">
        <v>603</v>
      </c>
      <c r="C96" s="181">
        <v>0</v>
      </c>
      <c r="D96" s="181">
        <v>0</v>
      </c>
      <c r="E96" s="181">
        <f t="shared" si="33"/>
        <v>0</v>
      </c>
      <c r="F96" s="181">
        <f t="shared" si="33"/>
        <v>0</v>
      </c>
      <c r="G96" s="181">
        <f t="shared" si="33"/>
        <v>0</v>
      </c>
      <c r="H96" s="182" t="e">
        <f t="shared" si="34"/>
        <v>#DIV/0!</v>
      </c>
      <c r="I96" s="181">
        <f t="shared" si="35"/>
        <v>-1906000</v>
      </c>
    </row>
    <row r="97" spans="1:9">
      <c r="A97" s="1023"/>
      <c r="B97" s="180">
        <v>604</v>
      </c>
      <c r="C97" s="181">
        <v>6127240.2199999997</v>
      </c>
      <c r="D97" s="181">
        <v>6000000</v>
      </c>
      <c r="E97" s="181">
        <f t="shared" si="33"/>
        <v>5868230</v>
      </c>
      <c r="F97" s="181">
        <f t="shared" si="33"/>
        <v>5819088.88583</v>
      </c>
      <c r="G97" s="181">
        <f t="shared" si="33"/>
        <v>49141.114170000073</v>
      </c>
      <c r="H97" s="182">
        <f t="shared" si="34"/>
        <v>99.162590522695936</v>
      </c>
      <c r="I97" s="181">
        <f t="shared" si="35"/>
        <v>-1558770</v>
      </c>
    </row>
    <row r="98" spans="1:9">
      <c r="A98" s="1023"/>
      <c r="B98" s="180">
        <v>605</v>
      </c>
      <c r="C98" s="181">
        <v>476197.82400000002</v>
      </c>
      <c r="D98" s="181">
        <v>293424</v>
      </c>
      <c r="E98" s="181">
        <f t="shared" si="33"/>
        <v>11000</v>
      </c>
      <c r="F98" s="181">
        <f t="shared" si="33"/>
        <v>10978.573</v>
      </c>
      <c r="G98" s="181">
        <f t="shared" si="33"/>
        <v>21.42699999999968</v>
      </c>
      <c r="H98" s="182">
        <f t="shared" si="34"/>
        <v>99.805209090909102</v>
      </c>
      <c r="I98" s="181">
        <f t="shared" si="35"/>
        <v>-5207000</v>
      </c>
    </row>
    <row r="99" spans="1:9">
      <c r="A99" s="1023"/>
      <c r="B99" s="180">
        <v>606</v>
      </c>
      <c r="C99" s="181">
        <v>624838.57088999997</v>
      </c>
      <c r="D99" s="181">
        <v>516250</v>
      </c>
      <c r="E99" s="181">
        <f t="shared" si="33"/>
        <v>619466.147</v>
      </c>
      <c r="F99" s="181">
        <f t="shared" si="33"/>
        <v>590175.24</v>
      </c>
      <c r="G99" s="181">
        <f t="shared" si="33"/>
        <v>29290.907000000014</v>
      </c>
      <c r="H99" s="182">
        <f t="shared" si="34"/>
        <v>95.27158874752844</v>
      </c>
      <c r="I99" s="181">
        <f t="shared" si="35"/>
        <v>-5325833.8530000001</v>
      </c>
    </row>
    <row r="100" spans="1:9">
      <c r="A100" s="1023"/>
      <c r="B100" s="180">
        <v>231</v>
      </c>
      <c r="C100" s="181">
        <v>10153292.248</v>
      </c>
      <c r="D100" s="181">
        <v>15937000</v>
      </c>
      <c r="E100" s="181">
        <f t="shared" si="33"/>
        <v>13627186</v>
      </c>
      <c r="F100" s="181">
        <f t="shared" si="33"/>
        <v>12213048.818710001</v>
      </c>
      <c r="G100" s="181">
        <f t="shared" si="33"/>
        <v>1414137.18129</v>
      </c>
      <c r="H100" s="182">
        <f t="shared" si="34"/>
        <v>89.622676455065644</v>
      </c>
      <c r="I100" s="181">
        <f t="shared" si="35"/>
        <v>-54875358</v>
      </c>
    </row>
    <row r="101" spans="1:9">
      <c r="A101" s="1023"/>
      <c r="B101" s="180" t="s">
        <v>538</v>
      </c>
      <c r="C101" s="181">
        <v>0</v>
      </c>
      <c r="D101" s="181">
        <v>12212050</v>
      </c>
      <c r="E101" s="181">
        <f t="shared" si="33"/>
        <v>11102400</v>
      </c>
      <c r="F101" s="181">
        <f t="shared" si="33"/>
        <v>0</v>
      </c>
      <c r="G101" s="181">
        <f t="shared" si="33"/>
        <v>11102400</v>
      </c>
      <c r="H101" s="182">
        <f t="shared" si="34"/>
        <v>0</v>
      </c>
      <c r="I101" s="181">
        <f t="shared" si="35"/>
        <v>-1109650</v>
      </c>
    </row>
    <row r="102" spans="1:9" ht="15.75" thickBot="1">
      <c r="A102" s="1024"/>
      <c r="B102" s="183" t="s">
        <v>539</v>
      </c>
      <c r="C102" s="184">
        <v>34081348.985139996</v>
      </c>
      <c r="D102" s="184">
        <v>52685544</v>
      </c>
      <c r="E102" s="184">
        <f>SUM(E93:E101)</f>
        <v>50741940.244999997</v>
      </c>
      <c r="F102" s="185">
        <f>SUM(F93:F101)</f>
        <v>37886006.043580003</v>
      </c>
      <c r="G102" s="186">
        <f t="shared" ref="G102" si="36">SUM(G93:G101)</f>
        <v>12855934.20142</v>
      </c>
      <c r="H102" s="187">
        <f t="shared" si="34"/>
        <v>74.66408627784628</v>
      </c>
      <c r="I102" s="186">
        <f>SUM(I93:I101)</f>
        <v>-105791391.755</v>
      </c>
    </row>
    <row r="103" spans="1:9">
      <c r="A103" s="88"/>
      <c r="B103" s="88"/>
      <c r="C103" s="88"/>
      <c r="D103" s="163">
        <v>52685544</v>
      </c>
      <c r="E103" s="163">
        <f t="shared" ref="E103:I103" si="37">E11+E24+E37+E50+E63+E76+E89</f>
        <v>50741940.244999997</v>
      </c>
      <c r="F103" s="163">
        <f t="shared" si="37"/>
        <v>37886006.043580011</v>
      </c>
      <c r="G103" s="163">
        <f t="shared" si="37"/>
        <v>12855934.201420002</v>
      </c>
      <c r="H103" s="182">
        <f t="shared" si="34"/>
        <v>74.664086277846295</v>
      </c>
      <c r="I103" s="163">
        <f t="shared" si="37"/>
        <v>-105791391.755</v>
      </c>
    </row>
    <row r="104" spans="1:9">
      <c r="A104" s="88"/>
      <c r="B104" s="88"/>
      <c r="C104" s="162"/>
      <c r="D104" s="163">
        <v>0</v>
      </c>
      <c r="E104" s="163">
        <f t="shared" ref="E104:I104" si="38">E102-E103</f>
        <v>0</v>
      </c>
      <c r="F104" s="163">
        <f t="shared" si="38"/>
        <v>0</v>
      </c>
      <c r="G104" s="163">
        <f t="shared" si="38"/>
        <v>0</v>
      </c>
      <c r="H104" s="166">
        <f t="shared" si="38"/>
        <v>0</v>
      </c>
      <c r="I104" s="163">
        <f t="shared" si="38"/>
        <v>0</v>
      </c>
    </row>
    <row r="105" spans="1:9">
      <c r="A105" s="88"/>
      <c r="B105" s="88"/>
      <c r="C105" s="162"/>
      <c r="D105" s="162"/>
      <c r="E105" s="188">
        <f>E104/1000</f>
        <v>0</v>
      </c>
      <c r="F105" s="188">
        <f>F104/1000</f>
        <v>0</v>
      </c>
      <c r="G105" s="163"/>
      <c r="H105" s="189"/>
      <c r="I105" s="162"/>
    </row>
    <row r="106" spans="1:9">
      <c r="A106" s="88"/>
      <c r="B106" s="88"/>
      <c r="C106" s="162"/>
      <c r="D106" s="190" t="s">
        <v>547</v>
      </c>
      <c r="E106" s="191">
        <f>3496485460/1000</f>
        <v>3496485.46</v>
      </c>
      <c r="F106" s="191">
        <f>890218488.63/1000</f>
        <v>890218.48863000004</v>
      </c>
      <c r="G106" s="163"/>
      <c r="H106" s="189"/>
      <c r="I106" s="162"/>
    </row>
    <row r="107" spans="1:9">
      <c r="E107" s="52">
        <f>E89-E106</f>
        <v>-509625.97900000028</v>
      </c>
      <c r="F107" s="52">
        <f>F89-F106</f>
        <v>1510098.4650899996</v>
      </c>
    </row>
  </sheetData>
  <mergeCells count="8">
    <mergeCell ref="A92:A102"/>
    <mergeCell ref="A1:A11"/>
    <mergeCell ref="A14:A24"/>
    <mergeCell ref="A27:A37"/>
    <mergeCell ref="A40:A50"/>
    <mergeCell ref="A53:A63"/>
    <mergeCell ref="A66:A76"/>
    <mergeCell ref="A79:A8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T18"/>
  <sheetViews>
    <sheetView topLeftCell="B1" workbookViewId="0">
      <selection activeCell="X25" sqref="X25"/>
    </sheetView>
  </sheetViews>
  <sheetFormatPr defaultRowHeight="15"/>
  <cols>
    <col min="1" max="1" width="0" hidden="1" customWidth="1"/>
    <col min="2" max="2" width="0.7109375" customWidth="1"/>
    <col min="3" max="3" width="7.28515625" customWidth="1"/>
    <col min="5" max="5" width="23.42578125" customWidth="1"/>
    <col min="6" max="6" width="6.42578125" customWidth="1"/>
    <col min="7" max="7" width="11.28515625" customWidth="1"/>
    <col min="9" max="9" width="13" customWidth="1"/>
    <col min="10" max="10" width="7.5703125" customWidth="1"/>
    <col min="11" max="11" width="9" customWidth="1"/>
    <col min="12" max="12" width="6.85546875" customWidth="1"/>
    <col min="13" max="14" width="8.5703125" customWidth="1"/>
    <col min="16" max="16" width="14.42578125" customWidth="1"/>
    <col min="17" max="17" width="7.7109375" customWidth="1"/>
    <col min="18" max="19" width="3.85546875" customWidth="1"/>
    <col min="20" max="20" width="13.28515625" customWidth="1"/>
  </cols>
  <sheetData>
    <row r="1" spans="1:20" s="958" customFormat="1" ht="20.100000000000001" customHeight="1">
      <c r="A1" s="957"/>
      <c r="B1" s="957"/>
      <c r="C1" s="446"/>
      <c r="D1" s="957"/>
      <c r="E1" s="957"/>
      <c r="F1" s="957"/>
      <c r="G1" s="957"/>
      <c r="H1" s="957"/>
      <c r="I1" s="957"/>
      <c r="J1" s="957"/>
      <c r="K1" s="957"/>
      <c r="L1" s="957"/>
      <c r="M1" s="957"/>
      <c r="N1" s="957"/>
      <c r="O1" s="957"/>
      <c r="P1" s="957"/>
      <c r="Q1" s="957"/>
      <c r="R1" s="957"/>
      <c r="S1" s="957"/>
      <c r="T1" s="957"/>
    </row>
    <row r="2" spans="1:20" s="958" customFormat="1" ht="18" customHeight="1">
      <c r="A2" s="957"/>
      <c r="B2" s="957"/>
      <c r="C2" s="1297" t="s">
        <v>138</v>
      </c>
      <c r="D2" s="1297"/>
      <c r="E2" s="1297"/>
      <c r="F2" s="1297"/>
      <c r="G2" s="1297"/>
      <c r="H2" s="1297"/>
      <c r="I2" s="1297"/>
      <c r="J2" s="1297"/>
      <c r="K2" s="1297"/>
      <c r="L2" s="1297"/>
      <c r="M2" s="1297"/>
      <c r="N2" s="1297"/>
      <c r="O2" s="1297"/>
      <c r="P2" s="1297"/>
      <c r="Q2" s="1297"/>
      <c r="R2" s="1297"/>
      <c r="S2" s="957"/>
      <c r="T2" s="957"/>
    </row>
    <row r="3" spans="1:20" ht="21" customHeight="1">
      <c r="A3" s="17"/>
      <c r="B3" s="17"/>
      <c r="C3" s="1298" t="s">
        <v>196</v>
      </c>
      <c r="D3" s="1298"/>
      <c r="E3" s="1298"/>
      <c r="F3" s="1298"/>
      <c r="G3" s="1298"/>
      <c r="H3" s="1298"/>
      <c r="I3" s="1298"/>
      <c r="J3" s="1298"/>
      <c r="K3" s="1298"/>
      <c r="L3" s="1298"/>
      <c r="M3" s="1298"/>
      <c r="N3" s="1298"/>
      <c r="O3" s="1298"/>
      <c r="P3" s="1298"/>
      <c r="Q3" s="1298"/>
      <c r="R3" s="1298"/>
      <c r="S3" s="1298"/>
      <c r="T3" s="1298"/>
    </row>
    <row r="4" spans="1:20" ht="21" customHeight="1" thickBot="1">
      <c r="A4" s="17"/>
      <c r="B4" s="1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 t="s">
        <v>811</v>
      </c>
    </row>
    <row r="5" spans="1:20" ht="15" customHeight="1" thickTop="1" thickBot="1">
      <c r="A5" s="1294"/>
      <c r="B5" s="1294"/>
      <c r="C5" s="1295" t="s">
        <v>63</v>
      </c>
      <c r="D5" s="1296" t="s">
        <v>25</v>
      </c>
      <c r="E5" s="1296" t="s">
        <v>96</v>
      </c>
      <c r="F5" s="1296" t="s">
        <v>64</v>
      </c>
      <c r="G5" s="1296" t="s">
        <v>65</v>
      </c>
      <c r="H5" s="1296" t="s">
        <v>6</v>
      </c>
      <c r="I5" s="1296" t="s">
        <v>66</v>
      </c>
      <c r="J5" s="1299" t="s">
        <v>67</v>
      </c>
      <c r="K5" s="1299"/>
      <c r="L5" s="1299"/>
      <c r="M5" s="1299"/>
      <c r="N5" s="1299"/>
      <c r="O5" s="1299"/>
      <c r="P5" s="1299"/>
      <c r="Q5" s="1299"/>
      <c r="R5" s="1299"/>
      <c r="S5" s="1299"/>
      <c r="T5" s="1299"/>
    </row>
    <row r="6" spans="1:20" ht="15" customHeight="1" thickTop="1" thickBot="1">
      <c r="A6" s="1294"/>
      <c r="B6" s="1294"/>
      <c r="C6" s="1295"/>
      <c r="D6" s="1296"/>
      <c r="E6" s="1296"/>
      <c r="F6" s="1296"/>
      <c r="G6" s="1296"/>
      <c r="H6" s="1296"/>
      <c r="I6" s="1296"/>
      <c r="J6" s="54" t="s">
        <v>49</v>
      </c>
      <c r="K6" s="54" t="s">
        <v>51</v>
      </c>
      <c r="L6" s="54" t="s">
        <v>34</v>
      </c>
      <c r="M6" s="54" t="s">
        <v>36</v>
      </c>
      <c r="N6" s="54" t="s">
        <v>38</v>
      </c>
      <c r="O6" s="54" t="s">
        <v>40</v>
      </c>
      <c r="P6" s="54" t="s">
        <v>42</v>
      </c>
      <c r="Q6" s="54" t="s">
        <v>44</v>
      </c>
      <c r="R6" s="1300" t="s">
        <v>46</v>
      </c>
      <c r="S6" s="1300"/>
      <c r="T6" s="55" t="s">
        <v>68</v>
      </c>
    </row>
    <row r="7" spans="1:20" ht="51" customHeight="1" thickTop="1">
      <c r="A7" s="17"/>
      <c r="B7" s="17"/>
      <c r="C7" s="1295"/>
      <c r="D7" s="1296"/>
      <c r="E7" s="1296"/>
      <c r="F7" s="1296"/>
      <c r="G7" s="1296"/>
      <c r="H7" s="56" t="s">
        <v>69</v>
      </c>
      <c r="I7" s="1296"/>
      <c r="J7" s="57" t="s">
        <v>139</v>
      </c>
      <c r="K7" s="57" t="s">
        <v>140</v>
      </c>
      <c r="L7" s="57" t="s">
        <v>72</v>
      </c>
      <c r="M7" s="57" t="s">
        <v>141</v>
      </c>
      <c r="N7" s="57" t="s">
        <v>142</v>
      </c>
      <c r="O7" s="57" t="s">
        <v>143</v>
      </c>
      <c r="P7" s="57" t="s">
        <v>144</v>
      </c>
      <c r="Q7" s="57" t="s">
        <v>145</v>
      </c>
      <c r="R7" s="1301" t="s">
        <v>78</v>
      </c>
      <c r="S7" s="1301"/>
      <c r="T7" s="58" t="s">
        <v>68</v>
      </c>
    </row>
    <row r="8" spans="1:20" ht="15" customHeight="1">
      <c r="A8" s="17"/>
      <c r="B8" s="17"/>
      <c r="C8" s="59" t="s">
        <v>221</v>
      </c>
      <c r="D8" s="237" t="s">
        <v>192</v>
      </c>
      <c r="E8" s="60" t="s">
        <v>193</v>
      </c>
      <c r="F8" s="61" t="s">
        <v>79</v>
      </c>
      <c r="G8" s="62" t="s">
        <v>80</v>
      </c>
      <c r="H8" s="61">
        <v>2025</v>
      </c>
      <c r="I8" s="60" t="s">
        <v>81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5200000000</v>
      </c>
      <c r="Q8" s="63">
        <v>0</v>
      </c>
      <c r="R8" s="1292">
        <v>0</v>
      </c>
      <c r="S8" s="1292"/>
      <c r="T8" s="64">
        <f>P8</f>
        <v>5200000000</v>
      </c>
    </row>
    <row r="9" spans="1:20" ht="15" customHeight="1">
      <c r="A9" s="17"/>
      <c r="B9" s="17"/>
      <c r="C9" s="59" t="s">
        <v>221</v>
      </c>
      <c r="D9" s="237" t="s">
        <v>192</v>
      </c>
      <c r="E9" s="60" t="s">
        <v>193</v>
      </c>
      <c r="F9" s="61" t="s">
        <v>79</v>
      </c>
      <c r="G9" s="62" t="s">
        <v>80</v>
      </c>
      <c r="H9" s="61">
        <v>2025</v>
      </c>
      <c r="I9" s="60" t="s">
        <v>82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f>'[3]aneksi 3.0'!L16</f>
        <v>5228958000</v>
      </c>
      <c r="Q9" s="63">
        <v>0</v>
      </c>
      <c r="R9" s="1292">
        <v>0</v>
      </c>
      <c r="S9" s="1292"/>
      <c r="T9" s="64">
        <f t="shared" ref="T9:T17" si="0">P9</f>
        <v>5228958000</v>
      </c>
    </row>
    <row r="10" spans="1:20" ht="15" customHeight="1">
      <c r="A10" s="17"/>
      <c r="B10" s="17"/>
      <c r="C10" s="59" t="s">
        <v>221</v>
      </c>
      <c r="D10" s="237" t="s">
        <v>192</v>
      </c>
      <c r="E10" s="60" t="s">
        <v>193</v>
      </c>
      <c r="F10" s="61" t="s">
        <v>79</v>
      </c>
      <c r="G10" s="62" t="s">
        <v>80</v>
      </c>
      <c r="H10" s="61">
        <v>2025</v>
      </c>
      <c r="I10" s="60" t="s">
        <v>83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f>P9</f>
        <v>5228958000</v>
      </c>
      <c r="Q10" s="63">
        <v>0</v>
      </c>
      <c r="R10" s="1292">
        <v>0</v>
      </c>
      <c r="S10" s="1292"/>
      <c r="T10" s="64">
        <f t="shared" si="0"/>
        <v>5228958000</v>
      </c>
    </row>
    <row r="11" spans="1:20" ht="15" customHeight="1">
      <c r="A11" s="17"/>
      <c r="B11" s="17"/>
      <c r="C11" s="59" t="s">
        <v>221</v>
      </c>
      <c r="D11" s="237" t="s">
        <v>192</v>
      </c>
      <c r="E11" s="60" t="s">
        <v>193</v>
      </c>
      <c r="F11" s="61" t="s">
        <v>79</v>
      </c>
      <c r="G11" s="62" t="s">
        <v>80</v>
      </c>
      <c r="H11" s="61">
        <v>2025</v>
      </c>
      <c r="I11" s="60" t="s">
        <v>84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1292">
        <v>0</v>
      </c>
      <c r="S11" s="1292"/>
      <c r="T11" s="64">
        <f t="shared" si="0"/>
        <v>0</v>
      </c>
    </row>
    <row r="12" spans="1:20">
      <c r="A12" s="17"/>
      <c r="B12" s="17"/>
      <c r="C12" s="59" t="s">
        <v>221</v>
      </c>
      <c r="D12" s="237" t="s">
        <v>192</v>
      </c>
      <c r="E12" s="60" t="s">
        <v>193</v>
      </c>
      <c r="F12" s="61"/>
      <c r="G12" s="62" t="s">
        <v>68</v>
      </c>
      <c r="H12" s="61">
        <v>2025</v>
      </c>
      <c r="I12" s="60" t="s">
        <v>81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f>P8</f>
        <v>5200000000</v>
      </c>
      <c r="Q12" s="63">
        <v>0</v>
      </c>
      <c r="R12" s="1292">
        <v>0</v>
      </c>
      <c r="S12" s="1292"/>
      <c r="T12" s="64">
        <f t="shared" si="0"/>
        <v>5200000000</v>
      </c>
    </row>
    <row r="13" spans="1:20">
      <c r="A13" s="17"/>
      <c r="B13" s="17"/>
      <c r="C13" s="59" t="s">
        <v>221</v>
      </c>
      <c r="D13" s="237" t="s">
        <v>192</v>
      </c>
      <c r="E13" s="60" t="s">
        <v>193</v>
      </c>
      <c r="F13" s="61"/>
      <c r="G13" s="62" t="s">
        <v>68</v>
      </c>
      <c r="H13" s="61">
        <v>2025</v>
      </c>
      <c r="I13" s="60" t="s">
        <v>82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f t="shared" ref="P13:P14" si="1">P9</f>
        <v>5228958000</v>
      </c>
      <c r="Q13" s="63">
        <v>0</v>
      </c>
      <c r="R13" s="1292">
        <v>0</v>
      </c>
      <c r="S13" s="1292"/>
      <c r="T13" s="64">
        <f t="shared" si="0"/>
        <v>5228958000</v>
      </c>
    </row>
    <row r="14" spans="1:20">
      <c r="A14" s="17"/>
      <c r="B14" s="17"/>
      <c r="C14" s="59" t="s">
        <v>221</v>
      </c>
      <c r="D14" s="237" t="s">
        <v>192</v>
      </c>
      <c r="E14" s="60" t="s">
        <v>193</v>
      </c>
      <c r="F14" s="61"/>
      <c r="G14" s="62" t="s">
        <v>68</v>
      </c>
      <c r="H14" s="61">
        <v>2025</v>
      </c>
      <c r="I14" s="60" t="s">
        <v>83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f t="shared" si="1"/>
        <v>5228958000</v>
      </c>
      <c r="Q14" s="63">
        <v>0</v>
      </c>
      <c r="R14" s="1292">
        <v>0</v>
      </c>
      <c r="S14" s="1292"/>
      <c r="T14" s="64">
        <f t="shared" si="0"/>
        <v>5228958000</v>
      </c>
    </row>
    <row r="15" spans="1:20">
      <c r="A15" s="17"/>
      <c r="B15" s="17"/>
      <c r="C15" s="59" t="s">
        <v>221</v>
      </c>
      <c r="D15" s="237" t="s">
        <v>192</v>
      </c>
      <c r="E15" s="60" t="s">
        <v>193</v>
      </c>
      <c r="F15" s="61"/>
      <c r="G15" s="62" t="s">
        <v>68</v>
      </c>
      <c r="H15" s="61">
        <v>2025</v>
      </c>
      <c r="I15" s="60" t="s">
        <v>84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1292">
        <v>0</v>
      </c>
      <c r="S15" s="1292"/>
      <c r="T15" s="64">
        <f t="shared" si="0"/>
        <v>0</v>
      </c>
    </row>
    <row r="16" spans="1:20">
      <c r="A16" s="17"/>
      <c r="B16" s="17"/>
      <c r="C16" s="59" t="s">
        <v>221</v>
      </c>
      <c r="D16" s="237" t="s">
        <v>192</v>
      </c>
      <c r="E16" s="60" t="s">
        <v>89</v>
      </c>
      <c r="F16" s="61"/>
      <c r="G16" s="62"/>
      <c r="H16" s="61">
        <v>2025</v>
      </c>
      <c r="I16" s="60"/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f>P14-P12</f>
        <v>28958000</v>
      </c>
      <c r="Q16" s="63">
        <v>0</v>
      </c>
      <c r="R16" s="1292">
        <v>0</v>
      </c>
      <c r="S16" s="1292"/>
      <c r="T16" s="64">
        <f t="shared" si="0"/>
        <v>28958000</v>
      </c>
    </row>
    <row r="17" spans="1:20" ht="15" customHeight="1" thickBot="1">
      <c r="A17" s="17"/>
      <c r="B17" s="17"/>
      <c r="C17" s="65" t="s">
        <v>221</v>
      </c>
      <c r="D17" s="238" t="s">
        <v>192</v>
      </c>
      <c r="E17" s="66" t="s">
        <v>90</v>
      </c>
      <c r="F17" s="67"/>
      <c r="G17" s="68"/>
      <c r="H17" s="67">
        <v>2025</v>
      </c>
      <c r="I17" s="66"/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f>P14/P13*100</f>
        <v>100</v>
      </c>
      <c r="Q17" s="69">
        <v>0</v>
      </c>
      <c r="R17" s="1293">
        <v>0</v>
      </c>
      <c r="S17" s="1293"/>
      <c r="T17" s="64">
        <f t="shared" si="0"/>
        <v>100</v>
      </c>
    </row>
    <row r="18" spans="1:20" ht="15.75" thickTop="1"/>
  </sheetData>
  <mergeCells count="23">
    <mergeCell ref="A5:B6"/>
    <mergeCell ref="C5:C7"/>
    <mergeCell ref="D5:D7"/>
    <mergeCell ref="E5:E7"/>
    <mergeCell ref="C2:R2"/>
    <mergeCell ref="F5:F7"/>
    <mergeCell ref="G5:G7"/>
    <mergeCell ref="H5:H6"/>
    <mergeCell ref="I5:I7"/>
    <mergeCell ref="C3:T3"/>
    <mergeCell ref="J5:T5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</mergeCells>
  <pageMargins left="0.7" right="0.7" top="0.75" bottom="0.75" header="0.3" footer="0.3"/>
  <pageSetup paperSize="9"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U21"/>
  <sheetViews>
    <sheetView workbookViewId="0">
      <selection activeCell="U36" sqref="U36"/>
    </sheetView>
  </sheetViews>
  <sheetFormatPr defaultRowHeight="15"/>
  <cols>
    <col min="1" max="1" width="3.42578125" customWidth="1"/>
    <col min="2" max="2" width="0.140625" customWidth="1"/>
    <col min="3" max="3" width="9" customWidth="1"/>
    <col min="4" max="4" width="1.42578125" customWidth="1"/>
    <col min="5" max="5" width="7.85546875" customWidth="1"/>
    <col min="6" max="6" width="25.140625" customWidth="1"/>
    <col min="7" max="7" width="8.140625" customWidth="1"/>
    <col min="8" max="8" width="21.140625" customWidth="1"/>
    <col min="9" max="9" width="11.5703125" customWidth="1"/>
    <col min="10" max="10" width="13.42578125" customWidth="1"/>
    <col min="11" max="15" width="12.42578125" style="38" customWidth="1"/>
    <col min="16" max="16" width="8.28515625" style="38" customWidth="1"/>
    <col min="17" max="18" width="12.42578125" style="38" customWidth="1"/>
    <col min="19" max="20" width="6" style="38" customWidth="1"/>
    <col min="21" max="21" width="12.42578125" style="38" customWidth="1"/>
  </cols>
  <sheetData>
    <row r="1" spans="1:21" s="958" customFormat="1" ht="20.100000000000001" customHeight="1">
      <c r="A1" s="959"/>
      <c r="B1" s="959"/>
      <c r="C1" s="443"/>
      <c r="D1" s="959"/>
      <c r="E1" s="959"/>
      <c r="F1" s="959"/>
      <c r="G1" s="959"/>
      <c r="H1" s="959"/>
      <c r="I1" s="959"/>
      <c r="J1" s="959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</row>
    <row r="2" spans="1:21" s="958" customFormat="1" ht="18" customHeight="1">
      <c r="A2" s="959"/>
      <c r="B2" s="959"/>
      <c r="C2" s="1302" t="s">
        <v>138</v>
      </c>
      <c r="D2" s="1302"/>
      <c r="E2" s="1302"/>
      <c r="F2" s="1302"/>
      <c r="G2" s="1302"/>
      <c r="H2" s="1302"/>
      <c r="I2" s="1302"/>
      <c r="J2" s="1302"/>
      <c r="K2" s="1302"/>
      <c r="L2" s="1302"/>
      <c r="M2" s="1302"/>
      <c r="N2" s="1302"/>
      <c r="O2" s="1302"/>
      <c r="P2" s="1302"/>
      <c r="Q2" s="1302"/>
      <c r="R2" s="1302"/>
      <c r="S2" s="1302"/>
      <c r="T2" s="124"/>
      <c r="U2" s="124"/>
    </row>
    <row r="3" spans="1:21" s="38" customFormat="1" ht="21" customHeight="1">
      <c r="A3" s="124"/>
      <c r="B3" s="124"/>
      <c r="C3" s="1056" t="s">
        <v>196</v>
      </c>
      <c r="D3" s="1056"/>
      <c r="E3" s="1056"/>
      <c r="F3" s="1056"/>
      <c r="G3" s="1056"/>
      <c r="H3" s="1056"/>
      <c r="I3" s="1056"/>
      <c r="J3" s="1056"/>
      <c r="K3" s="1056"/>
      <c r="L3" s="1056"/>
      <c r="M3" s="1056"/>
      <c r="N3" s="1056"/>
      <c r="O3" s="1056"/>
      <c r="P3" s="1056"/>
      <c r="Q3" s="1056"/>
      <c r="R3" s="1056"/>
      <c r="S3" s="1056"/>
      <c r="T3" s="1056"/>
      <c r="U3" s="1056"/>
    </row>
    <row r="4" spans="1:21" s="38" customFormat="1" ht="21" customHeight="1" thickBot="1">
      <c r="A4" s="124"/>
      <c r="B4" s="124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8"/>
      <c r="T4" s="448" t="s">
        <v>811</v>
      </c>
      <c r="U4" s="448"/>
    </row>
    <row r="5" spans="1:21" ht="15" customHeight="1" thickTop="1" thickBot="1">
      <c r="A5" s="1244"/>
      <c r="B5" s="1244"/>
      <c r="C5" s="1269" t="s">
        <v>63</v>
      </c>
      <c r="D5" s="1254" t="s">
        <v>25</v>
      </c>
      <c r="E5" s="1254"/>
      <c r="F5" s="1254" t="s">
        <v>96</v>
      </c>
      <c r="G5" s="1254" t="s">
        <v>64</v>
      </c>
      <c r="H5" s="1259" t="s">
        <v>65</v>
      </c>
      <c r="I5" s="1254" t="s">
        <v>6</v>
      </c>
      <c r="J5" s="1254" t="s">
        <v>66</v>
      </c>
      <c r="K5" s="1066" t="s">
        <v>67</v>
      </c>
      <c r="L5" s="1066"/>
      <c r="M5" s="1066"/>
      <c r="N5" s="1066"/>
      <c r="O5" s="1066"/>
      <c r="P5" s="1066"/>
      <c r="Q5" s="1066"/>
      <c r="R5" s="1066"/>
      <c r="S5" s="1066"/>
      <c r="T5" s="1066"/>
      <c r="U5" s="1066"/>
    </row>
    <row r="6" spans="1:21" ht="15" customHeight="1" thickTop="1" thickBot="1">
      <c r="A6" s="1244"/>
      <c r="B6" s="1244"/>
      <c r="C6" s="1269"/>
      <c r="D6" s="1254"/>
      <c r="E6" s="1254"/>
      <c r="F6" s="1254"/>
      <c r="G6" s="1254"/>
      <c r="H6" s="1259"/>
      <c r="I6" s="1254"/>
      <c r="J6" s="1254"/>
      <c r="K6" s="450" t="s">
        <v>49</v>
      </c>
      <c r="L6" s="450" t="s">
        <v>51</v>
      </c>
      <c r="M6" s="450" t="s">
        <v>34</v>
      </c>
      <c r="N6" s="450" t="s">
        <v>36</v>
      </c>
      <c r="O6" s="450" t="s">
        <v>38</v>
      </c>
      <c r="P6" s="450" t="s">
        <v>40</v>
      </c>
      <c r="Q6" s="450" t="s">
        <v>42</v>
      </c>
      <c r="R6" s="450" t="s">
        <v>44</v>
      </c>
      <c r="S6" s="1303" t="s">
        <v>46</v>
      </c>
      <c r="T6" s="1303"/>
      <c r="U6" s="125" t="s">
        <v>68</v>
      </c>
    </row>
    <row r="7" spans="1:21" ht="34.5" thickTop="1">
      <c r="A7" s="2"/>
      <c r="B7" s="2"/>
      <c r="C7" s="1269"/>
      <c r="D7" s="1254"/>
      <c r="E7" s="1254"/>
      <c r="F7" s="1254"/>
      <c r="G7" s="1254"/>
      <c r="H7" s="1259"/>
      <c r="I7" s="19" t="s">
        <v>69</v>
      </c>
      <c r="J7" s="1254"/>
      <c r="K7" s="451" t="s">
        <v>139</v>
      </c>
      <c r="L7" s="451" t="s">
        <v>140</v>
      </c>
      <c r="M7" s="451" t="s">
        <v>72</v>
      </c>
      <c r="N7" s="451" t="s">
        <v>141</v>
      </c>
      <c r="O7" s="451" t="s">
        <v>142</v>
      </c>
      <c r="P7" s="451" t="s">
        <v>143</v>
      </c>
      <c r="Q7" s="451" t="s">
        <v>144</v>
      </c>
      <c r="R7" s="451" t="s">
        <v>145</v>
      </c>
      <c r="S7" s="1304" t="s">
        <v>78</v>
      </c>
      <c r="T7" s="1304"/>
      <c r="U7" s="568" t="s">
        <v>68</v>
      </c>
    </row>
    <row r="8" spans="1:21">
      <c r="A8" s="2"/>
      <c r="B8" s="2"/>
      <c r="C8" s="21" t="s">
        <v>221</v>
      </c>
      <c r="D8" s="1245" t="s">
        <v>194</v>
      </c>
      <c r="E8" s="1245"/>
      <c r="F8" s="23" t="s">
        <v>195</v>
      </c>
      <c r="G8" s="75" t="s">
        <v>79</v>
      </c>
      <c r="H8" s="22" t="s">
        <v>80</v>
      </c>
      <c r="I8" s="75">
        <v>2025</v>
      </c>
      <c r="J8" s="23" t="s">
        <v>81</v>
      </c>
      <c r="K8" s="453">
        <v>0</v>
      </c>
      <c r="L8" s="453">
        <v>2000000000</v>
      </c>
      <c r="M8" s="453">
        <v>164000000</v>
      </c>
      <c r="N8" s="453">
        <v>27000000</v>
      </c>
      <c r="O8" s="453">
        <v>441000000</v>
      </c>
      <c r="P8" s="453">
        <v>0</v>
      </c>
      <c r="Q8" s="453">
        <v>800000000</v>
      </c>
      <c r="R8" s="453">
        <v>18000000</v>
      </c>
      <c r="S8" s="1305">
        <v>0</v>
      </c>
      <c r="T8" s="1305"/>
      <c r="U8" s="128">
        <f>SUM(K8:T8)</f>
        <v>3450000000</v>
      </c>
    </row>
    <row r="9" spans="1:21">
      <c r="A9" s="2"/>
      <c r="B9" s="2"/>
      <c r="C9" s="21" t="s">
        <v>221</v>
      </c>
      <c r="D9" s="1245" t="s">
        <v>194</v>
      </c>
      <c r="E9" s="1245"/>
      <c r="F9" s="23" t="s">
        <v>195</v>
      </c>
      <c r="G9" s="75" t="s">
        <v>79</v>
      </c>
      <c r="H9" s="22" t="s">
        <v>80</v>
      </c>
      <c r="I9" s="75">
        <v>2025</v>
      </c>
      <c r="J9" s="23" t="s">
        <v>82</v>
      </c>
      <c r="K9" s="453">
        <v>15000000</v>
      </c>
      <c r="L9" s="453">
        <v>1799180000</v>
      </c>
      <c r="M9" s="453">
        <v>205402021</v>
      </c>
      <c r="N9" s="453">
        <v>35020000</v>
      </c>
      <c r="O9" s="453">
        <v>281000000</v>
      </c>
      <c r="P9" s="453">
        <v>0</v>
      </c>
      <c r="Q9" s="453">
        <v>639272000</v>
      </c>
      <c r="R9" s="453">
        <v>11000000</v>
      </c>
      <c r="S9" s="1305">
        <v>985460</v>
      </c>
      <c r="T9" s="1305"/>
      <c r="U9" s="128">
        <f t="shared" ref="U9:U18" si="0">SUM(K9:T9)</f>
        <v>2986859481</v>
      </c>
    </row>
    <row r="10" spans="1:21">
      <c r="A10" s="2"/>
      <c r="B10" s="2"/>
      <c r="C10" s="21" t="s">
        <v>221</v>
      </c>
      <c r="D10" s="1245" t="s">
        <v>194</v>
      </c>
      <c r="E10" s="1245"/>
      <c r="F10" s="23" t="s">
        <v>195</v>
      </c>
      <c r="G10" s="75" t="s">
        <v>79</v>
      </c>
      <c r="H10" s="22" t="s">
        <v>80</v>
      </c>
      <c r="I10" s="75">
        <v>2025</v>
      </c>
      <c r="J10" s="23" t="s">
        <v>83</v>
      </c>
      <c r="K10" s="453">
        <v>13253510</v>
      </c>
      <c r="L10" s="453">
        <v>1313972313.8899999</v>
      </c>
      <c r="M10" s="453">
        <v>202443357</v>
      </c>
      <c r="N10" s="453">
        <v>32774835</v>
      </c>
      <c r="O10" s="453">
        <v>236139724</v>
      </c>
      <c r="P10" s="453">
        <v>0</v>
      </c>
      <c r="Q10" s="453">
        <v>590130885.82999992</v>
      </c>
      <c r="R10" s="453">
        <v>10978573</v>
      </c>
      <c r="S10" s="1305">
        <v>623755</v>
      </c>
      <c r="T10" s="1305"/>
      <c r="U10" s="128">
        <f>SUM(K10:T10)</f>
        <v>2400316953.7199998</v>
      </c>
    </row>
    <row r="11" spans="1:21">
      <c r="A11" s="2"/>
      <c r="B11" s="2"/>
      <c r="C11" s="21" t="s">
        <v>221</v>
      </c>
      <c r="D11" s="1245" t="s">
        <v>194</v>
      </c>
      <c r="E11" s="1245"/>
      <c r="F11" s="23" t="s">
        <v>195</v>
      </c>
      <c r="G11" s="75" t="s">
        <v>79</v>
      </c>
      <c r="H11" s="22" t="s">
        <v>80</v>
      </c>
      <c r="I11" s="75">
        <v>2025</v>
      </c>
      <c r="J11" s="23" t="s">
        <v>84</v>
      </c>
      <c r="K11" s="453">
        <v>0</v>
      </c>
      <c r="L11" s="453"/>
      <c r="M11" s="453">
        <v>0</v>
      </c>
      <c r="N11" s="453">
        <v>0</v>
      </c>
      <c r="O11" s="453">
        <v>639248</v>
      </c>
      <c r="P11" s="453">
        <v>0</v>
      </c>
      <c r="Q11" s="453">
        <v>4210900</v>
      </c>
      <c r="R11" s="453">
        <v>0</v>
      </c>
      <c r="S11" s="1305">
        <v>0</v>
      </c>
      <c r="T11" s="1305"/>
      <c r="U11" s="128"/>
    </row>
    <row r="12" spans="1:21">
      <c r="A12" s="2"/>
      <c r="B12" s="2"/>
      <c r="C12" s="21" t="s">
        <v>221</v>
      </c>
      <c r="D12" s="1245" t="s">
        <v>194</v>
      </c>
      <c r="E12" s="1245"/>
      <c r="F12" s="23" t="s">
        <v>195</v>
      </c>
      <c r="G12" s="75" t="s">
        <v>85</v>
      </c>
      <c r="H12" s="22" t="s">
        <v>86</v>
      </c>
      <c r="I12" s="75">
        <v>2025</v>
      </c>
      <c r="J12" s="23" t="s">
        <v>81</v>
      </c>
      <c r="K12" s="453">
        <v>0</v>
      </c>
      <c r="L12" s="453">
        <v>2012050000</v>
      </c>
      <c r="M12" s="453">
        <v>0</v>
      </c>
      <c r="N12" s="453">
        <v>0</v>
      </c>
      <c r="O12" s="453">
        <v>0</v>
      </c>
      <c r="P12" s="453">
        <v>0</v>
      </c>
      <c r="Q12" s="453">
        <v>0</v>
      </c>
      <c r="R12" s="453">
        <v>0</v>
      </c>
      <c r="S12" s="1305">
        <v>0</v>
      </c>
      <c r="T12" s="1305"/>
      <c r="U12" s="128">
        <f t="shared" si="0"/>
        <v>2012050000</v>
      </c>
    </row>
    <row r="13" spans="1:21">
      <c r="A13" s="2"/>
      <c r="B13" s="2"/>
      <c r="C13" s="21" t="s">
        <v>221</v>
      </c>
      <c r="D13" s="1245" t="s">
        <v>194</v>
      </c>
      <c r="E13" s="1245"/>
      <c r="F13" s="23" t="s">
        <v>195</v>
      </c>
      <c r="G13" s="75" t="s">
        <v>85</v>
      </c>
      <c r="H13" s="22" t="s">
        <v>86</v>
      </c>
      <c r="I13" s="75">
        <v>2025</v>
      </c>
      <c r="J13" s="23" t="s">
        <v>82</v>
      </c>
      <c r="K13" s="453">
        <v>0</v>
      </c>
      <c r="L13" s="453">
        <v>1012050000</v>
      </c>
      <c r="M13" s="453">
        <v>0</v>
      </c>
      <c r="N13" s="453">
        <v>0</v>
      </c>
      <c r="O13" s="453">
        <v>0</v>
      </c>
      <c r="P13" s="453">
        <v>0</v>
      </c>
      <c r="Q13" s="453">
        <v>0</v>
      </c>
      <c r="R13" s="453">
        <v>0</v>
      </c>
      <c r="S13" s="1305">
        <v>0</v>
      </c>
      <c r="T13" s="1305"/>
      <c r="U13" s="128">
        <f t="shared" si="0"/>
        <v>1012050000</v>
      </c>
    </row>
    <row r="14" spans="1:21">
      <c r="A14" s="2"/>
      <c r="B14" s="2"/>
      <c r="C14" s="21" t="s">
        <v>221</v>
      </c>
      <c r="D14" s="1245" t="s">
        <v>194</v>
      </c>
      <c r="E14" s="1245"/>
      <c r="F14" s="23" t="s">
        <v>195</v>
      </c>
      <c r="G14" s="75" t="s">
        <v>85</v>
      </c>
      <c r="H14" s="22" t="s">
        <v>86</v>
      </c>
      <c r="I14" s="75">
        <v>2025</v>
      </c>
      <c r="J14" s="23" t="s">
        <v>83</v>
      </c>
      <c r="K14" s="453"/>
      <c r="L14" s="453">
        <v>51337272</v>
      </c>
      <c r="M14" s="453">
        <v>0</v>
      </c>
      <c r="N14" s="453">
        <v>0</v>
      </c>
      <c r="O14" s="453">
        <v>0</v>
      </c>
      <c r="P14" s="453">
        <v>0</v>
      </c>
      <c r="Q14" s="453">
        <v>0</v>
      </c>
      <c r="R14" s="453">
        <v>0</v>
      </c>
      <c r="S14" s="1305">
        <v>0</v>
      </c>
      <c r="T14" s="1305"/>
      <c r="U14" s="128">
        <f t="shared" si="0"/>
        <v>51337272</v>
      </c>
    </row>
    <row r="15" spans="1:21">
      <c r="A15" s="2"/>
      <c r="B15" s="2"/>
      <c r="C15" s="21" t="s">
        <v>221</v>
      </c>
      <c r="D15" s="1245" t="s">
        <v>194</v>
      </c>
      <c r="E15" s="1245"/>
      <c r="F15" s="23" t="s">
        <v>195</v>
      </c>
      <c r="G15" s="75" t="s">
        <v>85</v>
      </c>
      <c r="H15" s="22" t="s">
        <v>86</v>
      </c>
      <c r="I15" s="75">
        <v>2025</v>
      </c>
      <c r="J15" s="23" t="s">
        <v>84</v>
      </c>
      <c r="K15" s="453">
        <v>0</v>
      </c>
      <c r="L15" s="453">
        <v>0</v>
      </c>
      <c r="M15" s="453">
        <v>0</v>
      </c>
      <c r="N15" s="453">
        <v>0</v>
      </c>
      <c r="O15" s="453">
        <v>0</v>
      </c>
      <c r="P15" s="453">
        <v>0</v>
      </c>
      <c r="Q15" s="453">
        <v>0</v>
      </c>
      <c r="R15" s="453">
        <v>0</v>
      </c>
      <c r="S15" s="1305">
        <v>0</v>
      </c>
      <c r="T15" s="1305"/>
      <c r="U15" s="128">
        <f>SUM(K15:T15)</f>
        <v>0</v>
      </c>
    </row>
    <row r="16" spans="1:21" ht="15" customHeight="1">
      <c r="A16" s="2"/>
      <c r="B16" s="2"/>
      <c r="C16" s="21" t="s">
        <v>221</v>
      </c>
      <c r="D16" s="1245" t="s">
        <v>194</v>
      </c>
      <c r="E16" s="1245"/>
      <c r="F16" s="23" t="s">
        <v>195</v>
      </c>
      <c r="G16" s="75"/>
      <c r="H16" s="22" t="s">
        <v>68</v>
      </c>
      <c r="I16" s="75">
        <v>2025</v>
      </c>
      <c r="J16" s="23" t="s">
        <v>81</v>
      </c>
      <c r="K16" s="571">
        <v>0</v>
      </c>
      <c r="L16" s="571">
        <f>L8+L12</f>
        <v>4012050000</v>
      </c>
      <c r="M16" s="571">
        <f>M8+M12</f>
        <v>164000000</v>
      </c>
      <c r="N16" s="571">
        <f t="shared" ref="N16:T16" si="1">N8+N12</f>
        <v>27000000</v>
      </c>
      <c r="O16" s="571">
        <f t="shared" si="1"/>
        <v>441000000</v>
      </c>
      <c r="P16" s="571">
        <f t="shared" si="1"/>
        <v>0</v>
      </c>
      <c r="Q16" s="571">
        <f t="shared" si="1"/>
        <v>800000000</v>
      </c>
      <c r="R16" s="571">
        <f t="shared" si="1"/>
        <v>18000000</v>
      </c>
      <c r="S16" s="1306">
        <f>S8+S12</f>
        <v>0</v>
      </c>
      <c r="T16" s="1306">
        <f t="shared" si="1"/>
        <v>0</v>
      </c>
      <c r="U16" s="570">
        <f>SUM(K16:T16)</f>
        <v>5462050000</v>
      </c>
    </row>
    <row r="17" spans="1:21" ht="15" customHeight="1">
      <c r="A17" s="2"/>
      <c r="B17" s="2"/>
      <c r="C17" s="21" t="s">
        <v>221</v>
      </c>
      <c r="D17" s="1245" t="s">
        <v>194</v>
      </c>
      <c r="E17" s="1245"/>
      <c r="F17" s="23" t="s">
        <v>195</v>
      </c>
      <c r="G17" s="75"/>
      <c r="H17" s="22" t="s">
        <v>68</v>
      </c>
      <c r="I17" s="75">
        <v>2025</v>
      </c>
      <c r="J17" s="23" t="s">
        <v>82</v>
      </c>
      <c r="K17" s="453">
        <f>K9+K13</f>
        <v>15000000</v>
      </c>
      <c r="L17" s="453">
        <f>L9+L13</f>
        <v>2811230000</v>
      </c>
      <c r="M17" s="453">
        <f t="shared" ref="L17:R19" si="2">M9+M13</f>
        <v>205402021</v>
      </c>
      <c r="N17" s="453">
        <f t="shared" si="2"/>
        <v>35020000</v>
      </c>
      <c r="O17" s="453">
        <f t="shared" si="2"/>
        <v>281000000</v>
      </c>
      <c r="P17" s="453">
        <f t="shared" si="2"/>
        <v>0</v>
      </c>
      <c r="Q17" s="453">
        <f t="shared" si="2"/>
        <v>639272000</v>
      </c>
      <c r="R17" s="453">
        <f t="shared" si="2"/>
        <v>11000000</v>
      </c>
      <c r="S17" s="1305">
        <f t="shared" ref="S17" si="3">S9</f>
        <v>985460</v>
      </c>
      <c r="T17" s="1305"/>
      <c r="U17" s="128">
        <f t="shared" si="0"/>
        <v>3998909481</v>
      </c>
    </row>
    <row r="18" spans="1:21" ht="15" customHeight="1">
      <c r="A18" s="2"/>
      <c r="B18" s="2"/>
      <c r="C18" s="21" t="s">
        <v>221</v>
      </c>
      <c r="D18" s="1245" t="s">
        <v>194</v>
      </c>
      <c r="E18" s="1245"/>
      <c r="F18" s="23" t="s">
        <v>195</v>
      </c>
      <c r="G18" s="75"/>
      <c r="H18" s="22" t="s">
        <v>68</v>
      </c>
      <c r="I18" s="75">
        <v>2025</v>
      </c>
      <c r="J18" s="23" t="s">
        <v>83</v>
      </c>
      <c r="K18" s="453">
        <v>13253510</v>
      </c>
      <c r="L18" s="453">
        <v>1313972313.8899999</v>
      </c>
      <c r="M18" s="453">
        <v>202443357</v>
      </c>
      <c r="N18" s="453">
        <v>32774835</v>
      </c>
      <c r="O18" s="453">
        <v>236139724</v>
      </c>
      <c r="P18" s="453">
        <v>0</v>
      </c>
      <c r="Q18" s="453">
        <v>590130885.82999992</v>
      </c>
      <c r="R18" s="453">
        <v>10978573</v>
      </c>
      <c r="S18" s="1305">
        <v>623755</v>
      </c>
      <c r="T18" s="1305"/>
      <c r="U18" s="128">
        <f t="shared" si="0"/>
        <v>2400316953.7199998</v>
      </c>
    </row>
    <row r="19" spans="1:21" ht="15" customHeight="1">
      <c r="A19" s="2"/>
      <c r="B19" s="2"/>
      <c r="C19" s="21" t="s">
        <v>221</v>
      </c>
      <c r="D19" s="1245" t="s">
        <v>194</v>
      </c>
      <c r="E19" s="1245"/>
      <c r="F19" s="23" t="s">
        <v>195</v>
      </c>
      <c r="G19" s="75"/>
      <c r="H19" s="22" t="s">
        <v>68</v>
      </c>
      <c r="I19" s="75">
        <v>2025</v>
      </c>
      <c r="J19" s="23" t="s">
        <v>84</v>
      </c>
      <c r="K19" s="453">
        <v>0</v>
      </c>
      <c r="L19" s="453">
        <f t="shared" si="2"/>
        <v>0</v>
      </c>
      <c r="M19" s="453">
        <f t="shared" si="2"/>
        <v>0</v>
      </c>
      <c r="N19" s="453">
        <f t="shared" si="2"/>
        <v>0</v>
      </c>
      <c r="O19" s="453"/>
      <c r="P19" s="453">
        <f t="shared" si="2"/>
        <v>0</v>
      </c>
      <c r="Q19" s="453"/>
      <c r="R19" s="453">
        <f t="shared" si="2"/>
        <v>0</v>
      </c>
      <c r="S19" s="1307">
        <f>S11+S15</f>
        <v>0</v>
      </c>
      <c r="T19" s="1308"/>
      <c r="U19" s="128">
        <f>SUM(K19:T19)</f>
        <v>0</v>
      </c>
    </row>
    <row r="20" spans="1:21" ht="15" customHeight="1">
      <c r="A20" s="2"/>
      <c r="B20" s="2"/>
      <c r="C20" s="21" t="s">
        <v>221</v>
      </c>
      <c r="D20" s="1245" t="s">
        <v>194</v>
      </c>
      <c r="E20" s="1245"/>
      <c r="F20" s="23" t="s">
        <v>89</v>
      </c>
      <c r="G20" s="75"/>
      <c r="H20" s="22"/>
      <c r="I20" s="75">
        <v>2025</v>
      </c>
      <c r="J20" s="23"/>
      <c r="K20" s="453">
        <f>K9-K8</f>
        <v>15000000</v>
      </c>
      <c r="L20" s="453">
        <f>L9-L8</f>
        <v>-200820000</v>
      </c>
      <c r="M20" s="453">
        <f>M9-M8</f>
        <v>41402021</v>
      </c>
      <c r="N20" s="453">
        <f t="shared" ref="N20:R20" si="4">N9-N8</f>
        <v>8020000</v>
      </c>
      <c r="O20" s="453">
        <f t="shared" si="4"/>
        <v>-160000000</v>
      </c>
      <c r="P20" s="453">
        <f t="shared" si="4"/>
        <v>0</v>
      </c>
      <c r="Q20" s="453">
        <f t="shared" si="4"/>
        <v>-160728000</v>
      </c>
      <c r="R20" s="453">
        <f t="shared" si="4"/>
        <v>-7000000</v>
      </c>
      <c r="S20" s="1307">
        <f>S9-S8</f>
        <v>985460</v>
      </c>
      <c r="T20" s="1308"/>
      <c r="U20" s="128">
        <f>SUM(K20:T20)</f>
        <v>-463140519</v>
      </c>
    </row>
    <row r="21" spans="1:21" ht="15" customHeight="1">
      <c r="A21" s="2"/>
      <c r="B21" s="2"/>
      <c r="C21" s="21" t="s">
        <v>221</v>
      </c>
      <c r="D21" s="1245" t="s">
        <v>194</v>
      </c>
      <c r="E21" s="1245"/>
      <c r="F21" s="23" t="s">
        <v>90</v>
      </c>
      <c r="G21" s="75"/>
      <c r="H21" s="22"/>
      <c r="I21" s="75">
        <v>2025</v>
      </c>
      <c r="J21" s="23"/>
      <c r="K21" s="967">
        <v>0</v>
      </c>
      <c r="L21" s="968">
        <f t="shared" ref="L21:R21" si="5">(L18/L9)*100</f>
        <v>73.031731893973912</v>
      </c>
      <c r="M21" s="968">
        <f t="shared" si="5"/>
        <v>98.559574055992371</v>
      </c>
      <c r="N21" s="968">
        <f t="shared" si="5"/>
        <v>93.588906339234725</v>
      </c>
      <c r="O21" s="968">
        <f t="shared" si="5"/>
        <v>84.035488967971531</v>
      </c>
      <c r="P21" s="968" t="e">
        <f t="shared" si="5"/>
        <v>#DIV/0!</v>
      </c>
      <c r="Q21" s="968">
        <f t="shared" si="5"/>
        <v>92.312956899410565</v>
      </c>
      <c r="R21" s="968">
        <f t="shared" si="5"/>
        <v>99.805209090909088</v>
      </c>
      <c r="S21" s="1309">
        <f>S10/S9</f>
        <v>0.63295821240841843</v>
      </c>
      <c r="T21" s="1309"/>
      <c r="U21" s="968">
        <f>(U18/U9)*100</f>
        <v>80.362567070492858</v>
      </c>
    </row>
  </sheetData>
  <mergeCells count="41">
    <mergeCell ref="D21:E21"/>
    <mergeCell ref="S21:T21"/>
    <mergeCell ref="D18:E18"/>
    <mergeCell ref="S18:T18"/>
    <mergeCell ref="D19:E19"/>
    <mergeCell ref="S19:T19"/>
    <mergeCell ref="D20:E20"/>
    <mergeCell ref="S20:T20"/>
    <mergeCell ref="D15:E15"/>
    <mergeCell ref="S15:T15"/>
    <mergeCell ref="D16:E16"/>
    <mergeCell ref="S16:T16"/>
    <mergeCell ref="D17:E17"/>
    <mergeCell ref="S17:T17"/>
    <mergeCell ref="D12:E12"/>
    <mergeCell ref="S12:T12"/>
    <mergeCell ref="D13:E13"/>
    <mergeCell ref="S13:T13"/>
    <mergeCell ref="D14:E14"/>
    <mergeCell ref="S14:T14"/>
    <mergeCell ref="S8:T8"/>
    <mergeCell ref="D10:E10"/>
    <mergeCell ref="S10:T10"/>
    <mergeCell ref="D11:E11"/>
    <mergeCell ref="S11:T11"/>
    <mergeCell ref="D9:E9"/>
    <mergeCell ref="S9:T9"/>
    <mergeCell ref="D8:E8"/>
    <mergeCell ref="C2:S2"/>
    <mergeCell ref="C3:U3"/>
    <mergeCell ref="A5:B6"/>
    <mergeCell ref="C5:C7"/>
    <mergeCell ref="D5:E7"/>
    <mergeCell ref="F5:F7"/>
    <mergeCell ref="G5:G7"/>
    <mergeCell ref="H5:H7"/>
    <mergeCell ref="I5:I6"/>
    <mergeCell ref="J5:J7"/>
    <mergeCell ref="K5:U5"/>
    <mergeCell ref="S6:T6"/>
    <mergeCell ref="S7:T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25"/>
  <sheetViews>
    <sheetView topLeftCell="C7" workbookViewId="0">
      <selection activeCell="J8" sqref="J8"/>
    </sheetView>
  </sheetViews>
  <sheetFormatPr defaultRowHeight="11.25"/>
  <cols>
    <col min="1" max="1" width="1.85546875" style="296" customWidth="1"/>
    <col min="2" max="2" width="7.5703125" style="296" customWidth="1"/>
    <col min="3" max="3" width="23.28515625" style="296" customWidth="1"/>
    <col min="4" max="4" width="11.85546875" style="296" customWidth="1"/>
    <col min="5" max="5" width="8.42578125" style="296" customWidth="1"/>
    <col min="6" max="6" width="10.85546875" style="1010" customWidth="1"/>
    <col min="7" max="7" width="12.42578125" style="1010" customWidth="1"/>
    <col min="8" max="8" width="4.85546875" style="1010" customWidth="1"/>
    <col min="9" max="9" width="12" style="1010" customWidth="1"/>
    <col min="10" max="10" width="11.42578125" style="1010" customWidth="1"/>
    <col min="11" max="11" width="5.5703125" style="1010" customWidth="1"/>
    <col min="12" max="12" width="15.140625" style="1010" customWidth="1"/>
    <col min="13" max="13" width="13.5703125" style="1010" customWidth="1"/>
    <col min="14" max="14" width="5" style="1010" customWidth="1"/>
    <col min="15" max="15" width="15.42578125" style="1010" customWidth="1"/>
    <col min="16" max="16" width="10.85546875" style="296" customWidth="1"/>
    <col min="17" max="17" width="12.5703125" style="296" customWidth="1"/>
    <col min="18" max="18" width="9.85546875" style="296" customWidth="1"/>
    <col min="19" max="19" width="9.140625" style="296" customWidth="1"/>
    <col min="20" max="20" width="9.140625" style="296"/>
    <col min="21" max="22" width="16.85546875" style="296" bestFit="1" customWidth="1"/>
    <col min="23" max="23" width="14.28515625" style="296" customWidth="1"/>
    <col min="24" max="24" width="15.85546875" style="296" customWidth="1"/>
    <col min="25" max="16384" width="9.140625" style="296"/>
  </cols>
  <sheetData>
    <row r="1" spans="1:24">
      <c r="A1" s="960"/>
      <c r="B1" s="961"/>
      <c r="C1" s="960"/>
      <c r="D1" s="960"/>
      <c r="E1" s="960"/>
      <c r="F1" s="962"/>
      <c r="G1" s="962"/>
      <c r="H1" s="962"/>
      <c r="I1" s="962"/>
      <c r="J1" s="962"/>
      <c r="K1" s="962"/>
      <c r="L1" s="962"/>
      <c r="M1" s="962"/>
      <c r="N1" s="962"/>
      <c r="O1" s="962"/>
      <c r="P1" s="960"/>
      <c r="Q1" s="960"/>
      <c r="R1" s="960"/>
      <c r="S1" s="960"/>
    </row>
    <row r="2" spans="1:24">
      <c r="A2" s="492"/>
      <c r="B2" s="1032" t="s">
        <v>146</v>
      </c>
      <c r="C2" s="1032"/>
      <c r="D2" s="1032"/>
      <c r="E2" s="1032"/>
      <c r="F2" s="1032"/>
      <c r="G2" s="1032"/>
      <c r="H2" s="1032"/>
      <c r="I2" s="1032"/>
      <c r="J2" s="1032"/>
      <c r="K2" s="1032"/>
      <c r="L2" s="1032"/>
      <c r="M2" s="1032"/>
      <c r="N2" s="1032"/>
      <c r="O2" s="1032"/>
      <c r="P2" s="1032"/>
      <c r="Q2" s="1032"/>
      <c r="R2" s="1032"/>
      <c r="S2" s="1032"/>
    </row>
    <row r="3" spans="1:24">
      <c r="A3" s="492"/>
      <c r="B3" s="1033" t="s">
        <v>198</v>
      </c>
      <c r="C3" s="1033"/>
      <c r="D3" s="1033"/>
      <c r="E3" s="1033"/>
      <c r="F3" s="1033"/>
      <c r="G3" s="1033"/>
      <c r="H3" s="1033"/>
      <c r="I3" s="1033"/>
      <c r="J3" s="1033"/>
      <c r="K3" s="1033"/>
      <c r="L3" s="1033"/>
      <c r="M3" s="1033"/>
      <c r="N3" s="1033"/>
      <c r="O3" s="1033"/>
      <c r="P3" s="1033"/>
      <c r="Q3" s="1033"/>
      <c r="R3" s="1033"/>
      <c r="S3" s="1033"/>
    </row>
    <row r="4" spans="1:24" ht="12" thickBot="1">
      <c r="A4" s="354"/>
      <c r="B4" s="1070" t="s">
        <v>1</v>
      </c>
      <c r="C4" s="1070"/>
      <c r="D4" s="1070"/>
      <c r="E4" s="1070"/>
      <c r="F4" s="1070"/>
      <c r="G4" s="1070"/>
      <c r="H4" s="1070"/>
      <c r="I4" s="1070"/>
      <c r="J4" s="1070"/>
      <c r="K4" s="1070"/>
      <c r="L4" s="1070"/>
      <c r="M4" s="1070"/>
      <c r="N4" s="1070"/>
      <c r="O4" s="1070"/>
      <c r="P4" s="1070"/>
      <c r="Q4" s="1070"/>
      <c r="R4" s="1070"/>
      <c r="S4" s="1070"/>
    </row>
    <row r="5" spans="1:24" ht="23.25" thickTop="1">
      <c r="A5" s="492"/>
      <c r="B5" s="970" t="s">
        <v>113</v>
      </c>
      <c r="C5" s="1312" t="s">
        <v>197</v>
      </c>
      <c r="D5" s="1312"/>
      <c r="E5" s="1312"/>
      <c r="F5" s="971" t="s">
        <v>3</v>
      </c>
      <c r="G5" s="1313">
        <v>17</v>
      </c>
      <c r="H5" s="1313"/>
      <c r="I5" s="1313"/>
      <c r="J5" s="1313"/>
      <c r="K5" s="1313"/>
      <c r="L5" s="1313"/>
      <c r="M5" s="1313"/>
      <c r="N5" s="1313"/>
      <c r="O5" s="1313"/>
      <c r="P5" s="1313"/>
      <c r="Q5" s="1313"/>
      <c r="R5" s="1313"/>
      <c r="S5" s="1313"/>
    </row>
    <row r="6" spans="1:24" ht="22.5">
      <c r="A6" s="492"/>
      <c r="B6" s="972" t="s">
        <v>114</v>
      </c>
      <c r="C6" s="1314" t="s">
        <v>28</v>
      </c>
      <c r="D6" s="1314"/>
      <c r="E6" s="1314"/>
      <c r="F6" s="971" t="s">
        <v>115</v>
      </c>
      <c r="G6" s="1315" t="s">
        <v>27</v>
      </c>
      <c r="H6" s="1315"/>
      <c r="I6" s="1315"/>
      <c r="J6" s="1315"/>
      <c r="K6" s="1315"/>
      <c r="L6" s="1315"/>
      <c r="M6" s="1315"/>
      <c r="N6" s="1315"/>
      <c r="O6" s="1315"/>
      <c r="P6" s="1315"/>
      <c r="Q6" s="1315"/>
      <c r="R6" s="1315"/>
      <c r="S6" s="1315"/>
    </row>
    <row r="7" spans="1:24">
      <c r="A7" s="492"/>
      <c r="B7" s="1316" t="s">
        <v>147</v>
      </c>
      <c r="C7" s="1317" t="s">
        <v>148</v>
      </c>
      <c r="D7" s="1318" t="s">
        <v>149</v>
      </c>
      <c r="E7" s="1319" t="s">
        <v>117</v>
      </c>
      <c r="F7" s="1319"/>
      <c r="G7" s="1319"/>
      <c r="H7" s="1319" t="s">
        <v>150</v>
      </c>
      <c r="I7" s="1319"/>
      <c r="J7" s="1319"/>
      <c r="K7" s="1319" t="s">
        <v>150</v>
      </c>
      <c r="L7" s="1319"/>
      <c r="M7" s="1319"/>
      <c r="N7" s="1319" t="s">
        <v>150</v>
      </c>
      <c r="O7" s="1319"/>
      <c r="P7" s="1319"/>
      <c r="Q7" s="1310" t="s">
        <v>151</v>
      </c>
      <c r="R7" s="1310"/>
      <c r="S7" s="1310"/>
    </row>
    <row r="8" spans="1:24" ht="112.5">
      <c r="A8" s="492"/>
      <c r="B8" s="1316"/>
      <c r="C8" s="1317"/>
      <c r="D8" s="1318"/>
      <c r="E8" s="973" t="s">
        <v>152</v>
      </c>
      <c r="F8" s="971" t="s">
        <v>153</v>
      </c>
      <c r="G8" s="971" t="s">
        <v>154</v>
      </c>
      <c r="H8" s="971" t="s">
        <v>155</v>
      </c>
      <c r="I8" s="971" t="s">
        <v>156</v>
      </c>
      <c r="J8" s="971" t="s">
        <v>157</v>
      </c>
      <c r="K8" s="971" t="s">
        <v>158</v>
      </c>
      <c r="L8" s="971" t="s">
        <v>159</v>
      </c>
      <c r="M8" s="971" t="s">
        <v>160</v>
      </c>
      <c r="N8" s="971" t="s">
        <v>161</v>
      </c>
      <c r="O8" s="971" t="s">
        <v>162</v>
      </c>
      <c r="P8" s="974" t="s">
        <v>163</v>
      </c>
      <c r="Q8" s="975" t="s">
        <v>164</v>
      </c>
      <c r="R8" s="976" t="s">
        <v>165</v>
      </c>
      <c r="S8" s="977" t="s">
        <v>166</v>
      </c>
    </row>
    <row r="9" spans="1:24" ht="12" thickBot="1">
      <c r="A9" s="492"/>
      <c r="B9" s="978"/>
      <c r="C9" s="979"/>
      <c r="D9" s="979"/>
      <c r="E9" s="979" t="s">
        <v>13</v>
      </c>
      <c r="F9" s="980" t="s">
        <v>14</v>
      </c>
      <c r="G9" s="980" t="s">
        <v>15</v>
      </c>
      <c r="H9" s="980" t="s">
        <v>16</v>
      </c>
      <c r="I9" s="980" t="s">
        <v>17</v>
      </c>
      <c r="J9" s="980" t="s">
        <v>18</v>
      </c>
      <c r="K9" s="980" t="s">
        <v>167</v>
      </c>
      <c r="L9" s="980" t="s">
        <v>20</v>
      </c>
      <c r="M9" s="980" t="s">
        <v>21</v>
      </c>
      <c r="N9" s="980" t="s">
        <v>168</v>
      </c>
      <c r="O9" s="980" t="s">
        <v>169</v>
      </c>
      <c r="P9" s="979" t="s">
        <v>170</v>
      </c>
      <c r="Q9" s="979" t="s">
        <v>171</v>
      </c>
      <c r="R9" s="979" t="s">
        <v>172</v>
      </c>
      <c r="S9" s="981" t="s">
        <v>173</v>
      </c>
    </row>
    <row r="10" spans="1:24" ht="25.5" customHeight="1" thickTop="1">
      <c r="A10" s="492"/>
      <c r="B10" s="1311" t="s">
        <v>174</v>
      </c>
      <c r="C10" s="1311"/>
      <c r="D10" s="272"/>
      <c r="E10" s="329"/>
      <c r="F10" s="297"/>
      <c r="G10" s="298"/>
      <c r="H10" s="297"/>
      <c r="I10" s="298"/>
      <c r="J10" s="299"/>
      <c r="K10" s="297"/>
      <c r="L10" s="298"/>
      <c r="M10" s="299"/>
      <c r="N10" s="297"/>
      <c r="O10" s="298"/>
      <c r="P10" s="330"/>
      <c r="Q10" s="272"/>
      <c r="R10" s="329"/>
      <c r="S10" s="331"/>
    </row>
    <row r="11" spans="1:24" ht="22.5">
      <c r="A11" s="492"/>
      <c r="B11" s="982" t="s">
        <v>199</v>
      </c>
      <c r="C11" s="983" t="s">
        <v>200</v>
      </c>
      <c r="D11" s="984" t="s">
        <v>217</v>
      </c>
      <c r="E11" s="985">
        <v>41</v>
      </c>
      <c r="F11" s="986">
        <v>1830147000</v>
      </c>
      <c r="G11" s="986">
        <f>F11/E11*100</f>
        <v>4463773170.7317076</v>
      </c>
      <c r="H11" s="987">
        <v>41</v>
      </c>
      <c r="I11" s="986">
        <v>1403300000</v>
      </c>
      <c r="J11" s="986">
        <f>I11/H11</f>
        <v>34226829.26829268</v>
      </c>
      <c r="K11" s="987">
        <v>41</v>
      </c>
      <c r="L11" s="986">
        <v>1596263853</v>
      </c>
      <c r="M11" s="986">
        <f>L11/K11</f>
        <v>38933264.707317077</v>
      </c>
      <c r="N11" s="987">
        <v>41</v>
      </c>
      <c r="O11" s="986">
        <v>1579149195</v>
      </c>
      <c r="P11" s="985">
        <f>O11/N11</f>
        <v>38515834.024390243</v>
      </c>
      <c r="Q11" s="985">
        <f>P11-G11</f>
        <v>-4425257336.7073174</v>
      </c>
      <c r="R11" s="985">
        <f>P11-J11</f>
        <v>4289004.7560975626</v>
      </c>
      <c r="S11" s="988">
        <f>P11-M11</f>
        <v>-417430.68292683363</v>
      </c>
      <c r="V11" s="989"/>
      <c r="W11" s="989"/>
      <c r="X11" s="989"/>
    </row>
    <row r="12" spans="1:24">
      <c r="A12" s="492"/>
      <c r="B12" s="990" t="s">
        <v>175</v>
      </c>
      <c r="C12" s="991" t="s">
        <v>68</v>
      </c>
      <c r="D12" s="332"/>
      <c r="E12" s="985"/>
      <c r="F12" s="591">
        <f>F11</f>
        <v>1830147000</v>
      </c>
      <c r="G12" s="591"/>
      <c r="H12" s="992"/>
      <c r="I12" s="591">
        <f>I11</f>
        <v>1403300000</v>
      </c>
      <c r="J12" s="986"/>
      <c r="K12" s="992"/>
      <c r="L12" s="591">
        <f>SUM(L11:L11)</f>
        <v>1596263853</v>
      </c>
      <c r="M12" s="986"/>
      <c r="N12" s="992"/>
      <c r="O12" s="591">
        <f>SUM(O11:O11)</f>
        <v>1579149195</v>
      </c>
      <c r="P12" s="985"/>
      <c r="Q12" s="985"/>
      <c r="R12" s="985"/>
      <c r="S12" s="988"/>
      <c r="V12" s="993"/>
      <c r="X12" s="993"/>
    </row>
    <row r="13" spans="1:24" ht="33.75" customHeight="1">
      <c r="A13" s="492"/>
      <c r="B13" s="1311" t="s">
        <v>220</v>
      </c>
      <c r="C13" s="1311"/>
      <c r="D13" s="994">
        <v>110267000</v>
      </c>
      <c r="E13" s="329"/>
      <c r="F13" s="591"/>
      <c r="G13" s="298"/>
      <c r="H13" s="987"/>
      <c r="I13" s="986"/>
      <c r="J13" s="986"/>
      <c r="K13" s="987"/>
      <c r="L13" s="986"/>
      <c r="M13" s="986"/>
      <c r="N13" s="987"/>
      <c r="O13" s="986"/>
      <c r="P13" s="985"/>
      <c r="Q13" s="985"/>
      <c r="R13" s="985"/>
      <c r="S13" s="988"/>
    </row>
    <row r="14" spans="1:24" ht="33.75" customHeight="1">
      <c r="A14" s="492"/>
      <c r="B14" s="317" t="s">
        <v>201</v>
      </c>
      <c r="C14" s="317" t="s">
        <v>202</v>
      </c>
      <c r="D14" s="332" t="s">
        <v>177</v>
      </c>
      <c r="E14" s="985">
        <v>4</v>
      </c>
      <c r="F14" s="591">
        <f>'[4]Aneksi 2.0 Planif'!F41</f>
        <v>32188000</v>
      </c>
      <c r="G14" s="986">
        <f>F14/E14</f>
        <v>8047000</v>
      </c>
      <c r="H14" s="986">
        <f>E14</f>
        <v>4</v>
      </c>
      <c r="I14" s="986">
        <f>'[4]Aneksi 2.0 Planif'!F41</f>
        <v>32188000</v>
      </c>
      <c r="J14" s="986">
        <f t="shared" ref="J14:J21" si="0">I14/H14</f>
        <v>8047000</v>
      </c>
      <c r="K14" s="986">
        <f>E14</f>
        <v>4</v>
      </c>
      <c r="L14" s="986">
        <f>'[4]Aneksi 2.0 Planif'!H41</f>
        <v>45188000</v>
      </c>
      <c r="M14" s="986">
        <f t="shared" ref="M14:M21" si="1">L14/K14</f>
        <v>11297000</v>
      </c>
      <c r="N14" s="986">
        <f>E14</f>
        <v>4</v>
      </c>
      <c r="O14" s="986">
        <f>'[4]Aneksi 2.0 Planif'!K41</f>
        <v>45188000</v>
      </c>
      <c r="P14" s="985">
        <f t="shared" ref="P14:P21" si="2">O14/N14</f>
        <v>11297000</v>
      </c>
      <c r="Q14" s="985">
        <f t="shared" ref="Q14:Q21" si="3">P14-G14</f>
        <v>3250000</v>
      </c>
      <c r="R14" s="985">
        <f t="shared" ref="R14:R21" si="4">P14-J14</f>
        <v>3250000</v>
      </c>
      <c r="S14" s="988">
        <f>P14-M14</f>
        <v>0</v>
      </c>
    </row>
    <row r="15" spans="1:24" ht="33.75" customHeight="1">
      <c r="A15" s="492"/>
      <c r="B15" s="317" t="s">
        <v>203</v>
      </c>
      <c r="C15" s="317" t="s">
        <v>204</v>
      </c>
      <c r="D15" s="332" t="s">
        <v>177</v>
      </c>
      <c r="E15" s="985">
        <v>1</v>
      </c>
      <c r="F15" s="591">
        <f>'[4]Aneksi 2.0 Planif'!F42</f>
        <v>0</v>
      </c>
      <c r="G15" s="986">
        <f t="shared" ref="G15:G21" si="5">F15/E15</f>
        <v>0</v>
      </c>
      <c r="H15" s="986">
        <f t="shared" ref="H15:H21" si="6">E15</f>
        <v>1</v>
      </c>
      <c r="I15" s="986">
        <f>'[4]Aneksi 2.0 Planif'!F42</f>
        <v>0</v>
      </c>
      <c r="J15" s="986">
        <f t="shared" si="0"/>
        <v>0</v>
      </c>
      <c r="K15" s="986">
        <f t="shared" ref="K15:K21" si="7">E15</f>
        <v>1</v>
      </c>
      <c r="L15" s="986">
        <f>'[4]Aneksi 2.0 Planif'!H42</f>
        <v>357250</v>
      </c>
      <c r="M15" s="986">
        <f t="shared" si="1"/>
        <v>357250</v>
      </c>
      <c r="N15" s="986">
        <f t="shared" ref="N15:N18" si="8">E15</f>
        <v>1</v>
      </c>
      <c r="O15" s="986">
        <f>'[4]Aneksi 2.0 Planif'!K42</f>
        <v>357244</v>
      </c>
      <c r="P15" s="985">
        <f t="shared" si="2"/>
        <v>357244</v>
      </c>
      <c r="Q15" s="985">
        <f t="shared" si="3"/>
        <v>357244</v>
      </c>
      <c r="R15" s="985">
        <f t="shared" si="4"/>
        <v>357244</v>
      </c>
      <c r="S15" s="988">
        <f t="shared" ref="S15:S21" si="9">P15-M15</f>
        <v>-6</v>
      </c>
    </row>
    <row r="16" spans="1:24" ht="33.75" customHeight="1">
      <c r="A16" s="492"/>
      <c r="B16" s="317" t="s">
        <v>205</v>
      </c>
      <c r="C16" s="317" t="s">
        <v>206</v>
      </c>
      <c r="D16" s="332" t="s">
        <v>177</v>
      </c>
      <c r="E16" s="985">
        <v>1</v>
      </c>
      <c r="F16" s="591">
        <f>'[4]Aneksi 2.0 Planif'!F43</f>
        <v>0</v>
      </c>
      <c r="G16" s="986">
        <f t="shared" si="5"/>
        <v>0</v>
      </c>
      <c r="H16" s="986">
        <f t="shared" si="6"/>
        <v>1</v>
      </c>
      <c r="I16" s="986">
        <f>'[4]Aneksi 2.0 Planif'!F43</f>
        <v>0</v>
      </c>
      <c r="J16" s="986">
        <f t="shared" si="0"/>
        <v>0</v>
      </c>
      <c r="K16" s="986">
        <f t="shared" si="7"/>
        <v>1</v>
      </c>
      <c r="L16" s="986">
        <f>'[4]Aneksi 2.0 Planif'!H43</f>
        <v>140400</v>
      </c>
      <c r="M16" s="986">
        <f t="shared" si="1"/>
        <v>140400</v>
      </c>
      <c r="N16" s="986">
        <f t="shared" si="8"/>
        <v>1</v>
      </c>
      <c r="O16" s="986">
        <f>'[4]Aneksi 2.0 Planif'!K43</f>
        <v>140400</v>
      </c>
      <c r="P16" s="985">
        <f t="shared" si="2"/>
        <v>140400</v>
      </c>
      <c r="Q16" s="985">
        <f t="shared" si="3"/>
        <v>140400</v>
      </c>
      <c r="R16" s="985">
        <f t="shared" si="4"/>
        <v>140400</v>
      </c>
      <c r="S16" s="988">
        <f t="shared" si="9"/>
        <v>0</v>
      </c>
    </row>
    <row r="17" spans="1:21" ht="33.75" customHeight="1">
      <c r="A17" s="492"/>
      <c r="B17" s="317" t="s">
        <v>207</v>
      </c>
      <c r="C17" s="317" t="s">
        <v>208</v>
      </c>
      <c r="D17" s="332" t="s">
        <v>177</v>
      </c>
      <c r="E17" s="985">
        <v>1</v>
      </c>
      <c r="F17" s="591">
        <f>'[4]Aneksi 2.0 Planif'!F44</f>
        <v>0</v>
      </c>
      <c r="G17" s="986">
        <f t="shared" si="5"/>
        <v>0</v>
      </c>
      <c r="H17" s="986">
        <f t="shared" si="6"/>
        <v>1</v>
      </c>
      <c r="I17" s="986">
        <f>'[4]Aneksi 2.0 Planif'!F44</f>
        <v>0</v>
      </c>
      <c r="J17" s="986">
        <f t="shared" si="0"/>
        <v>0</v>
      </c>
      <c r="K17" s="986">
        <f t="shared" si="7"/>
        <v>1</v>
      </c>
      <c r="L17" s="986">
        <f>'[4]Aneksi 2.0 Planif'!H44</f>
        <v>600000</v>
      </c>
      <c r="M17" s="986">
        <f t="shared" si="1"/>
        <v>600000</v>
      </c>
      <c r="N17" s="986">
        <f t="shared" si="8"/>
        <v>1</v>
      </c>
      <c r="O17" s="986">
        <f>'[4]Aneksi 2.0 Planif'!K44</f>
        <v>600000</v>
      </c>
      <c r="P17" s="985">
        <f t="shared" si="2"/>
        <v>600000</v>
      </c>
      <c r="Q17" s="985">
        <f t="shared" si="3"/>
        <v>600000</v>
      </c>
      <c r="R17" s="985">
        <f t="shared" si="4"/>
        <v>600000</v>
      </c>
      <c r="S17" s="988">
        <f t="shared" si="9"/>
        <v>0</v>
      </c>
    </row>
    <row r="18" spans="1:21" ht="33.75" customHeight="1">
      <c r="A18" s="492"/>
      <c r="B18" s="317" t="s">
        <v>209</v>
      </c>
      <c r="C18" s="317" t="s">
        <v>210</v>
      </c>
      <c r="D18" s="332" t="s">
        <v>219</v>
      </c>
      <c r="E18" s="985">
        <v>6</v>
      </c>
      <c r="F18" s="591">
        <f>'[4]Aneksi 2.0 Planif'!F45</f>
        <v>0</v>
      </c>
      <c r="G18" s="986">
        <f t="shared" si="5"/>
        <v>0</v>
      </c>
      <c r="H18" s="986">
        <f t="shared" si="6"/>
        <v>6</v>
      </c>
      <c r="I18" s="986">
        <f>'[4]Aneksi 2.0 Planif'!F45</f>
        <v>0</v>
      </c>
      <c r="J18" s="986">
        <f t="shared" si="0"/>
        <v>0</v>
      </c>
      <c r="K18" s="986">
        <f t="shared" si="7"/>
        <v>6</v>
      </c>
      <c r="L18" s="986">
        <f>'[4]Aneksi 2.0 Planif'!H45</f>
        <v>31382750</v>
      </c>
      <c r="M18" s="986">
        <f>L18/K18</f>
        <v>5230458.333333333</v>
      </c>
      <c r="N18" s="986">
        <f t="shared" si="8"/>
        <v>6</v>
      </c>
      <c r="O18" s="986">
        <f>'[4]Aneksi 2.0 Planif'!K45</f>
        <v>31368052</v>
      </c>
      <c r="P18" s="985">
        <f t="shared" si="2"/>
        <v>5228008.666666667</v>
      </c>
      <c r="Q18" s="985">
        <f t="shared" si="3"/>
        <v>5228008.666666667</v>
      </c>
      <c r="R18" s="985">
        <f t="shared" si="4"/>
        <v>5228008.666666667</v>
      </c>
      <c r="S18" s="988">
        <f t="shared" si="9"/>
        <v>-2449.6666666660458</v>
      </c>
      <c r="U18" s="989"/>
    </row>
    <row r="19" spans="1:21" ht="33.75" customHeight="1">
      <c r="A19" s="492"/>
      <c r="B19" s="317" t="s">
        <v>211</v>
      </c>
      <c r="C19" s="317" t="s">
        <v>212</v>
      </c>
      <c r="D19" s="332" t="s">
        <v>218</v>
      </c>
      <c r="E19" s="985">
        <v>1</v>
      </c>
      <c r="F19" s="591">
        <f>'[4]Aneksi 2.0 Planif'!F46</f>
        <v>0</v>
      </c>
      <c r="G19" s="986">
        <f t="shared" si="5"/>
        <v>0</v>
      </c>
      <c r="H19" s="986">
        <f t="shared" si="6"/>
        <v>1</v>
      </c>
      <c r="I19" s="986">
        <f>'[4]Aneksi 2.0 Planif'!F46</f>
        <v>0</v>
      </c>
      <c r="J19" s="986">
        <f t="shared" si="0"/>
        <v>0</v>
      </c>
      <c r="K19" s="986">
        <f t="shared" si="7"/>
        <v>1</v>
      </c>
      <c r="L19" s="986">
        <f>'[4]Aneksi 2.0 Planif'!H46</f>
        <v>600</v>
      </c>
      <c r="M19" s="986">
        <f t="shared" si="1"/>
        <v>600</v>
      </c>
      <c r="N19" s="986">
        <f>E19</f>
        <v>1</v>
      </c>
      <c r="O19" s="986">
        <f>'[4]Aneksi 2.0 Planif'!K46</f>
        <v>0</v>
      </c>
      <c r="P19" s="985">
        <f t="shared" si="2"/>
        <v>0</v>
      </c>
      <c r="Q19" s="985">
        <f t="shared" si="3"/>
        <v>0</v>
      </c>
      <c r="R19" s="985">
        <f t="shared" si="4"/>
        <v>0</v>
      </c>
      <c r="S19" s="988">
        <f t="shared" si="9"/>
        <v>-600</v>
      </c>
      <c r="U19" s="989"/>
    </row>
    <row r="20" spans="1:21" ht="33.75" customHeight="1">
      <c r="A20" s="492"/>
      <c r="B20" s="312" t="s">
        <v>213</v>
      </c>
      <c r="C20" s="317" t="s">
        <v>214</v>
      </c>
      <c r="D20" s="332" t="s">
        <v>218</v>
      </c>
      <c r="E20" s="985">
        <v>1</v>
      </c>
      <c r="F20" s="591">
        <f>'[4]Aneksi 2.0 Planif'!F47</f>
        <v>18000000</v>
      </c>
      <c r="G20" s="986">
        <f t="shared" si="5"/>
        <v>18000000</v>
      </c>
      <c r="H20" s="986">
        <f t="shared" si="6"/>
        <v>1</v>
      </c>
      <c r="I20" s="986">
        <f>'[4]Aneksi 2.0 Planif'!F47</f>
        <v>18000000</v>
      </c>
      <c r="J20" s="986">
        <f t="shared" si="0"/>
        <v>18000000</v>
      </c>
      <c r="K20" s="986">
        <f t="shared" si="7"/>
        <v>1</v>
      </c>
      <c r="L20" s="986">
        <f>'[4]Aneksi 2.0 Planif'!H47</f>
        <v>0</v>
      </c>
      <c r="M20" s="986">
        <f t="shared" si="1"/>
        <v>0</v>
      </c>
      <c r="N20" s="986">
        <f>E20</f>
        <v>1</v>
      </c>
      <c r="O20" s="986">
        <f>'[4]Aneksi 2.0 Planif'!K47</f>
        <v>0</v>
      </c>
      <c r="P20" s="985">
        <f t="shared" si="2"/>
        <v>0</v>
      </c>
      <c r="Q20" s="985">
        <f t="shared" si="3"/>
        <v>-18000000</v>
      </c>
      <c r="R20" s="985">
        <f t="shared" si="4"/>
        <v>-18000000</v>
      </c>
      <c r="S20" s="988">
        <f t="shared" si="9"/>
        <v>0</v>
      </c>
      <c r="U20" s="989"/>
    </row>
    <row r="21" spans="1:21">
      <c r="A21" s="492"/>
      <c r="B21" s="312" t="s">
        <v>215</v>
      </c>
      <c r="C21" s="317" t="s">
        <v>216</v>
      </c>
      <c r="D21" s="317"/>
      <c r="E21" s="995">
        <v>1</v>
      </c>
      <c r="F21" s="591">
        <f>'[4]Aneksi 2.0 Planif'!F48</f>
        <v>69812000</v>
      </c>
      <c r="G21" s="986">
        <f t="shared" si="5"/>
        <v>69812000</v>
      </c>
      <c r="H21" s="986">
        <f t="shared" si="6"/>
        <v>1</v>
      </c>
      <c r="I21" s="986">
        <f>'[4]Aneksi 2.0 Planif'!F48</f>
        <v>69812000</v>
      </c>
      <c r="J21" s="986">
        <f t="shared" si="0"/>
        <v>69812000</v>
      </c>
      <c r="K21" s="986">
        <f t="shared" si="7"/>
        <v>1</v>
      </c>
      <c r="L21" s="986">
        <f>'[4]Aneksi 2.0 Planif'!H48</f>
        <v>0</v>
      </c>
      <c r="M21" s="986">
        <f t="shared" si="1"/>
        <v>0</v>
      </c>
      <c r="N21" s="986">
        <f t="shared" ref="N21" si="10">E21</f>
        <v>1</v>
      </c>
      <c r="O21" s="986">
        <f>'[4]Aneksi 2.0 Planif'!K48</f>
        <v>0</v>
      </c>
      <c r="P21" s="985">
        <f t="shared" si="2"/>
        <v>0</v>
      </c>
      <c r="Q21" s="985">
        <f t="shared" si="3"/>
        <v>-69812000</v>
      </c>
      <c r="R21" s="985">
        <f t="shared" si="4"/>
        <v>-69812000</v>
      </c>
      <c r="S21" s="988">
        <f t="shared" si="9"/>
        <v>0</v>
      </c>
    </row>
    <row r="22" spans="1:21">
      <c r="A22" s="492"/>
      <c r="B22" s="996"/>
      <c r="C22" s="317"/>
      <c r="D22" s="332"/>
      <c r="E22" s="995"/>
      <c r="F22" s="591"/>
      <c r="G22" s="997"/>
      <c r="H22" s="987"/>
      <c r="I22" s="986"/>
      <c r="J22" s="986"/>
      <c r="K22" s="987"/>
      <c r="L22" s="986"/>
      <c r="M22" s="986"/>
      <c r="N22" s="987"/>
      <c r="O22" s="998"/>
      <c r="P22" s="985"/>
      <c r="Q22" s="985"/>
      <c r="R22" s="985"/>
      <c r="S22" s="988"/>
    </row>
    <row r="23" spans="1:21" ht="12" thickBot="1">
      <c r="A23" s="492"/>
      <c r="B23" s="999" t="s">
        <v>175</v>
      </c>
      <c r="C23" s="1000"/>
      <c r="D23" s="1000"/>
      <c r="E23" s="1001"/>
      <c r="F23" s="1002">
        <f>SUM(F14:F22)</f>
        <v>120000000</v>
      </c>
      <c r="G23" s="1002"/>
      <c r="H23" s="1002"/>
      <c r="I23" s="1002">
        <f t="shared" ref="I23" si="11">SUM(I14:I22)</f>
        <v>120000000</v>
      </c>
      <c r="J23" s="1002"/>
      <c r="K23" s="1002"/>
      <c r="L23" s="1002">
        <f>SUM(L14:L22)</f>
        <v>77669000</v>
      </c>
      <c r="M23" s="1002"/>
      <c r="N23" s="1002"/>
      <c r="O23" s="1002">
        <f t="shared" ref="O23" si="12">SUM(O14:O22)</f>
        <v>77653696</v>
      </c>
      <c r="P23" s="1001"/>
      <c r="Q23" s="1001"/>
      <c r="R23" s="1001"/>
      <c r="S23" s="1003"/>
    </row>
    <row r="24" spans="1:21" ht="12" thickTop="1">
      <c r="A24" s="960"/>
      <c r="B24" s="1004"/>
      <c r="C24" s="1000" t="s">
        <v>68</v>
      </c>
      <c r="D24" s="1005"/>
      <c r="E24" s="1005"/>
      <c r="F24" s="1006"/>
      <c r="G24" s="1006"/>
      <c r="H24" s="1006"/>
      <c r="I24" s="1007">
        <f t="shared" ref="I24:S24" si="13">I12+I23</f>
        <v>1523300000</v>
      </c>
      <c r="J24" s="1008">
        <f t="shared" si="13"/>
        <v>0</v>
      </c>
      <c r="K24" s="1008">
        <f t="shared" si="13"/>
        <v>0</v>
      </c>
      <c r="L24" s="1008">
        <f>L12+L23</f>
        <v>1673932853</v>
      </c>
      <c r="M24" s="1008">
        <f t="shared" si="13"/>
        <v>0</v>
      </c>
      <c r="N24" s="1008">
        <f t="shared" si="13"/>
        <v>0</v>
      </c>
      <c r="O24" s="1008">
        <f t="shared" si="13"/>
        <v>1656802891</v>
      </c>
      <c r="P24" s="1009">
        <f t="shared" si="13"/>
        <v>0</v>
      </c>
      <c r="Q24" s="1009">
        <f t="shared" si="13"/>
        <v>0</v>
      </c>
      <c r="R24" s="1009">
        <f t="shared" si="13"/>
        <v>0</v>
      </c>
      <c r="S24" s="1009">
        <f t="shared" si="13"/>
        <v>0</v>
      </c>
    </row>
    <row r="25" spans="1:21" ht="15" customHeight="1">
      <c r="A25" s="960"/>
      <c r="B25" s="961"/>
      <c r="C25" s="960"/>
      <c r="D25" s="960"/>
      <c r="E25" s="960"/>
      <c r="F25" s="962"/>
      <c r="G25" s="962"/>
      <c r="H25" s="962"/>
      <c r="I25" s="962"/>
      <c r="J25" s="962"/>
      <c r="K25" s="962"/>
      <c r="L25" s="962"/>
      <c r="M25" s="962"/>
      <c r="N25" s="962"/>
      <c r="O25" s="962"/>
      <c r="P25" s="960"/>
      <c r="Q25" s="960"/>
      <c r="R25" s="960"/>
      <c r="S25" s="960"/>
    </row>
  </sheetData>
  <mergeCells count="17">
    <mergeCell ref="N7:P7"/>
    <mergeCell ref="Q7:S7"/>
    <mergeCell ref="B13:C13"/>
    <mergeCell ref="B2:S2"/>
    <mergeCell ref="B3:S3"/>
    <mergeCell ref="B4:S4"/>
    <mergeCell ref="C5:E5"/>
    <mergeCell ref="G5:S5"/>
    <mergeCell ref="C6:E6"/>
    <mergeCell ref="G6:S6"/>
    <mergeCell ref="B10:C10"/>
    <mergeCell ref="B7:B8"/>
    <mergeCell ref="C7:C8"/>
    <mergeCell ref="D7:D8"/>
    <mergeCell ref="E7:G7"/>
    <mergeCell ref="H7:J7"/>
    <mergeCell ref="K7:M7"/>
  </mergeCells>
  <pageMargins left="0.17" right="0.17" top="0.17" bottom="0.18" header="0.17" footer="0.17"/>
  <pageSetup scale="6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66"/>
  <sheetViews>
    <sheetView zoomScale="90" zoomScaleNormal="90" workbookViewId="0">
      <pane xSplit="5" ySplit="1" topLeftCell="F11" activePane="bottomRight" state="frozen"/>
      <selection pane="topRight" activeCell="F1" sqref="F1"/>
      <selection pane="bottomLeft" activeCell="A10" sqref="A10"/>
      <selection pane="bottomRight" activeCell="C12" sqref="C12"/>
    </sheetView>
  </sheetViews>
  <sheetFormatPr defaultRowHeight="11.25"/>
  <cols>
    <col min="1" max="1" width="3.5703125" style="38" hidden="1" customWidth="1"/>
    <col min="2" max="2" width="7.5703125" style="38" customWidth="1"/>
    <col min="3" max="3" width="27.28515625" style="38" customWidth="1"/>
    <col min="4" max="4" width="12.85546875" style="382" customWidth="1"/>
    <col min="5" max="5" width="8.85546875" style="382" customWidth="1"/>
    <col min="6" max="6" width="18.28515625" style="382" customWidth="1"/>
    <col min="7" max="7" width="12.7109375" style="382" customWidth="1"/>
    <col min="8" max="8" width="8.42578125" style="382" customWidth="1"/>
    <col min="9" max="9" width="17.42578125" style="382" customWidth="1"/>
    <col min="10" max="10" width="14.140625" style="382" customWidth="1"/>
    <col min="11" max="11" width="9.7109375" style="382" customWidth="1"/>
    <col min="12" max="12" width="16.5703125" style="382" customWidth="1"/>
    <col min="13" max="13" width="14.42578125" style="382" customWidth="1"/>
    <col min="14" max="14" width="9.5703125" style="382" customWidth="1"/>
    <col min="15" max="15" width="16" style="296" customWidth="1"/>
    <col min="16" max="17" width="12" style="320" customWidth="1"/>
    <col min="18" max="18" width="12.42578125" style="320" customWidth="1"/>
    <col min="19" max="19" width="12.42578125" style="320" bestFit="1" customWidth="1"/>
    <col min="20" max="16384" width="9.140625" style="38"/>
  </cols>
  <sheetData>
    <row r="1" spans="1:24" ht="15">
      <c r="A1" s="384"/>
      <c r="B1" s="385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557"/>
      <c r="P1" s="537"/>
      <c r="Q1" s="537"/>
      <c r="R1" s="537"/>
      <c r="S1" s="537"/>
      <c r="T1" s="383"/>
      <c r="U1" s="383"/>
      <c r="V1" s="383"/>
      <c r="W1" s="383"/>
      <c r="X1" s="383"/>
    </row>
    <row r="2" spans="1:24" ht="15">
      <c r="A2" s="384"/>
      <c r="B2" s="1326" t="s">
        <v>146</v>
      </c>
      <c r="C2" s="1326"/>
      <c r="D2" s="1326"/>
      <c r="E2" s="1326"/>
      <c r="F2" s="1326"/>
      <c r="G2" s="1326"/>
      <c r="H2" s="1326"/>
      <c r="I2" s="1326"/>
      <c r="J2" s="1326"/>
      <c r="K2" s="1326"/>
      <c r="L2" s="1326"/>
      <c r="M2" s="1326"/>
      <c r="N2" s="1326"/>
      <c r="O2" s="1326"/>
      <c r="P2" s="1326"/>
      <c r="Q2" s="1326"/>
      <c r="R2" s="1326"/>
      <c r="S2" s="1326"/>
      <c r="T2" s="383"/>
      <c r="U2" s="383"/>
      <c r="V2" s="383"/>
      <c r="W2" s="383"/>
      <c r="X2" s="383"/>
    </row>
    <row r="3" spans="1:24" ht="15">
      <c r="A3" s="384"/>
      <c r="B3" s="1327" t="s">
        <v>198</v>
      </c>
      <c r="C3" s="1327"/>
      <c r="D3" s="1327"/>
      <c r="E3" s="1327"/>
      <c r="F3" s="1327"/>
      <c r="G3" s="1327"/>
      <c r="H3" s="1327"/>
      <c r="I3" s="1327"/>
      <c r="J3" s="1327"/>
      <c r="K3" s="1327"/>
      <c r="L3" s="1327"/>
      <c r="M3" s="1327"/>
      <c r="N3" s="1327"/>
      <c r="O3" s="1327"/>
      <c r="P3" s="1327"/>
      <c r="Q3" s="1327"/>
      <c r="R3" s="1327"/>
      <c r="S3" s="1327"/>
      <c r="T3" s="383"/>
      <c r="U3" s="383"/>
      <c r="V3" s="383"/>
      <c r="W3" s="383"/>
      <c r="X3" s="383"/>
    </row>
    <row r="4" spans="1:24" ht="15.75" thickBot="1">
      <c r="A4" s="385"/>
      <c r="B4" s="1328" t="s">
        <v>1</v>
      </c>
      <c r="C4" s="1328"/>
      <c r="D4" s="1328"/>
      <c r="E4" s="1328"/>
      <c r="F4" s="1328"/>
      <c r="G4" s="1328"/>
      <c r="H4" s="1328"/>
      <c r="I4" s="1328"/>
      <c r="J4" s="1328"/>
      <c r="K4" s="1328"/>
      <c r="L4" s="1328"/>
      <c r="M4" s="1328"/>
      <c r="N4" s="1328"/>
      <c r="O4" s="1328"/>
      <c r="P4" s="1328"/>
      <c r="Q4" s="1328"/>
      <c r="R4" s="1328"/>
      <c r="S4" s="1328"/>
      <c r="T4" s="383"/>
      <c r="U4" s="383"/>
      <c r="V4" s="383"/>
      <c r="W4" s="383"/>
      <c r="X4" s="383"/>
    </row>
    <row r="5" spans="1:24" ht="21">
      <c r="A5" s="384"/>
      <c r="B5" s="412" t="s">
        <v>113</v>
      </c>
      <c r="C5" s="1329" t="s">
        <v>197</v>
      </c>
      <c r="D5" s="1329"/>
      <c r="E5" s="1329"/>
      <c r="F5" s="413" t="s">
        <v>3</v>
      </c>
      <c r="G5" s="1330" t="s">
        <v>221</v>
      </c>
      <c r="H5" s="1330"/>
      <c r="I5" s="1330"/>
      <c r="J5" s="1330"/>
      <c r="K5" s="1330"/>
      <c r="L5" s="1330"/>
      <c r="M5" s="1330"/>
      <c r="N5" s="1330"/>
      <c r="O5" s="1330"/>
      <c r="P5" s="1330"/>
      <c r="Q5" s="1330"/>
      <c r="R5" s="1330"/>
      <c r="S5" s="1331"/>
      <c r="T5" s="383"/>
      <c r="U5" s="383"/>
      <c r="V5" s="383"/>
      <c r="W5" s="383"/>
      <c r="X5" s="383"/>
    </row>
    <row r="6" spans="1:24" ht="15">
      <c r="A6" s="384"/>
      <c r="B6" s="414" t="s">
        <v>114</v>
      </c>
      <c r="C6" s="1332" t="s">
        <v>185</v>
      </c>
      <c r="D6" s="1332"/>
      <c r="E6" s="1332"/>
      <c r="F6" s="389" t="s">
        <v>115</v>
      </c>
      <c r="G6" s="1333" t="s">
        <v>184</v>
      </c>
      <c r="H6" s="1333"/>
      <c r="I6" s="1333"/>
      <c r="J6" s="1333"/>
      <c r="K6" s="1333"/>
      <c r="L6" s="1333"/>
      <c r="M6" s="1333"/>
      <c r="N6" s="1333"/>
      <c r="O6" s="1333"/>
      <c r="P6" s="1333"/>
      <c r="Q6" s="1333"/>
      <c r="R6" s="1333"/>
      <c r="S6" s="1334"/>
      <c r="T6" s="383"/>
      <c r="U6" s="383"/>
      <c r="V6" s="383"/>
      <c r="W6" s="383"/>
      <c r="X6" s="383"/>
    </row>
    <row r="7" spans="1:24" ht="15">
      <c r="A7" s="384"/>
      <c r="B7" s="1335" t="s">
        <v>147</v>
      </c>
      <c r="C7" s="1336" t="s">
        <v>148</v>
      </c>
      <c r="D7" s="1337" t="s">
        <v>149</v>
      </c>
      <c r="E7" s="1338" t="s">
        <v>117</v>
      </c>
      <c r="F7" s="1338"/>
      <c r="G7" s="1338"/>
      <c r="H7" s="1338" t="s">
        <v>150</v>
      </c>
      <c r="I7" s="1338"/>
      <c r="J7" s="1338"/>
      <c r="K7" s="1338" t="s">
        <v>150</v>
      </c>
      <c r="L7" s="1338"/>
      <c r="M7" s="1338"/>
      <c r="N7" s="1338" t="s">
        <v>150</v>
      </c>
      <c r="O7" s="1338"/>
      <c r="P7" s="1338"/>
      <c r="Q7" s="1339" t="s">
        <v>151</v>
      </c>
      <c r="R7" s="1339"/>
      <c r="S7" s="1340"/>
      <c r="T7" s="383"/>
      <c r="U7" s="383"/>
      <c r="V7" s="383"/>
      <c r="W7" s="383"/>
      <c r="X7" s="383"/>
    </row>
    <row r="8" spans="1:24" ht="63">
      <c r="A8" s="384"/>
      <c r="B8" s="1335"/>
      <c r="C8" s="1336"/>
      <c r="D8" s="1337"/>
      <c r="E8" s="390" t="s">
        <v>152</v>
      </c>
      <c r="F8" s="391" t="s">
        <v>153</v>
      </c>
      <c r="G8" s="392" t="s">
        <v>154</v>
      </c>
      <c r="H8" s="393" t="s">
        <v>155</v>
      </c>
      <c r="I8" s="391" t="s">
        <v>156</v>
      </c>
      <c r="J8" s="394" t="s">
        <v>157</v>
      </c>
      <c r="K8" s="393" t="s">
        <v>158</v>
      </c>
      <c r="L8" s="391" t="s">
        <v>159</v>
      </c>
      <c r="M8" s="394" t="s">
        <v>160</v>
      </c>
      <c r="N8" s="393" t="s">
        <v>161</v>
      </c>
      <c r="O8" s="558" t="s">
        <v>162</v>
      </c>
      <c r="P8" s="538" t="s">
        <v>163</v>
      </c>
      <c r="Q8" s="539" t="s">
        <v>164</v>
      </c>
      <c r="R8" s="540" t="s">
        <v>165</v>
      </c>
      <c r="S8" s="541" t="s">
        <v>166</v>
      </c>
      <c r="T8" s="383"/>
      <c r="U8" s="383"/>
      <c r="V8" s="383"/>
      <c r="W8" s="383"/>
      <c r="X8" s="383"/>
    </row>
    <row r="9" spans="1:24" ht="15.75" thickBot="1">
      <c r="A9" s="384"/>
      <c r="B9" s="415"/>
      <c r="C9" s="395"/>
      <c r="D9" s="395"/>
      <c r="E9" s="395" t="s">
        <v>13</v>
      </c>
      <c r="F9" s="395" t="s">
        <v>14</v>
      </c>
      <c r="G9" s="395" t="s">
        <v>15</v>
      </c>
      <c r="H9" s="395" t="s">
        <v>16</v>
      </c>
      <c r="I9" s="395" t="s">
        <v>17</v>
      </c>
      <c r="J9" s="395" t="s">
        <v>18</v>
      </c>
      <c r="K9" s="395" t="s">
        <v>167</v>
      </c>
      <c r="L9" s="395" t="s">
        <v>20</v>
      </c>
      <c r="M9" s="395" t="s">
        <v>21</v>
      </c>
      <c r="N9" s="395" t="s">
        <v>168</v>
      </c>
      <c r="O9" s="559" t="s">
        <v>169</v>
      </c>
      <c r="P9" s="542" t="s">
        <v>170</v>
      </c>
      <c r="Q9" s="542" t="s">
        <v>171</v>
      </c>
      <c r="R9" s="542" t="s">
        <v>172</v>
      </c>
      <c r="S9" s="543" t="s">
        <v>173</v>
      </c>
      <c r="T9" s="383"/>
      <c r="U9" s="383"/>
      <c r="V9" s="383"/>
      <c r="W9" s="383"/>
      <c r="X9" s="383"/>
    </row>
    <row r="10" spans="1:24" ht="28.5" customHeight="1" thickTop="1">
      <c r="A10" s="384"/>
      <c r="B10" s="1320" t="s">
        <v>174</v>
      </c>
      <c r="C10" s="1321"/>
      <c r="D10" s="386"/>
      <c r="E10" s="387"/>
      <c r="F10" s="386"/>
      <c r="G10" s="387"/>
      <c r="H10" s="386"/>
      <c r="I10" s="387"/>
      <c r="J10" s="388"/>
      <c r="K10" s="386"/>
      <c r="L10" s="387"/>
      <c r="M10" s="388"/>
      <c r="N10" s="386"/>
      <c r="O10" s="560"/>
      <c r="P10" s="544"/>
      <c r="Q10" s="545"/>
      <c r="R10" s="546"/>
      <c r="S10" s="547"/>
      <c r="T10" s="383"/>
      <c r="U10" s="383"/>
      <c r="V10" s="420"/>
      <c r="W10" s="383"/>
      <c r="X10" s="420"/>
    </row>
    <row r="11" spans="1:24" ht="22.5">
      <c r="A11" s="384"/>
      <c r="B11" s="416" t="s">
        <v>268</v>
      </c>
      <c r="C11" s="396" t="s">
        <v>269</v>
      </c>
      <c r="D11" s="396" t="s">
        <v>270</v>
      </c>
      <c r="E11" s="397">
        <v>2333</v>
      </c>
      <c r="F11" s="397">
        <v>3163208641</v>
      </c>
      <c r="G11" s="397">
        <v>1355855</v>
      </c>
      <c r="H11" s="398">
        <v>2516</v>
      </c>
      <c r="I11" s="422">
        <v>3737258000</v>
      </c>
      <c r="J11" s="423">
        <v>1485396.6613672497</v>
      </c>
      <c r="K11" s="424">
        <v>2752</v>
      </c>
      <c r="L11" s="422">
        <v>4243651300</v>
      </c>
      <c r="M11" s="423">
        <v>1542024.4549418604</v>
      </c>
      <c r="N11" s="424">
        <v>2657</v>
      </c>
      <c r="O11" s="561">
        <v>4228517542</v>
      </c>
      <c r="P11" s="548">
        <v>1591463.1321038764</v>
      </c>
      <c r="Q11" s="548">
        <v>235608.13210387644</v>
      </c>
      <c r="R11" s="548">
        <v>106066.47073662677</v>
      </c>
      <c r="S11" s="274">
        <v>49438.677162016043</v>
      </c>
      <c r="T11" s="383"/>
      <c r="U11" s="383"/>
      <c r="V11" s="420"/>
      <c r="W11" s="383"/>
      <c r="X11" s="420"/>
    </row>
    <row r="12" spans="1:24" ht="22.5">
      <c r="A12" s="384"/>
      <c r="B12" s="416" t="s">
        <v>271</v>
      </c>
      <c r="C12" s="869" t="s">
        <v>272</v>
      </c>
      <c r="D12" s="396" t="s">
        <v>273</v>
      </c>
      <c r="E12" s="397">
        <v>266</v>
      </c>
      <c r="F12" s="397">
        <v>1069376646.13</v>
      </c>
      <c r="G12" s="397">
        <v>4020213</v>
      </c>
      <c r="H12" s="398">
        <v>230</v>
      </c>
      <c r="I12" s="422">
        <v>1250000000</v>
      </c>
      <c r="J12" s="423">
        <v>5434782.6086956523</v>
      </c>
      <c r="K12" s="424">
        <v>230</v>
      </c>
      <c r="L12" s="422">
        <v>1490000000</v>
      </c>
      <c r="M12" s="423">
        <v>6478260.8695652178</v>
      </c>
      <c r="N12" s="424">
        <v>383</v>
      </c>
      <c r="O12" s="561">
        <v>1489313785</v>
      </c>
      <c r="P12" s="548">
        <v>3888547.7415143605</v>
      </c>
      <c r="Q12" s="548">
        <v>-131665.25848563947</v>
      </c>
      <c r="R12" s="548">
        <v>-1546234.8671812918</v>
      </c>
      <c r="S12" s="274">
        <v>-2589713.1280508572</v>
      </c>
      <c r="T12" s="383"/>
      <c r="U12" s="383"/>
      <c r="V12" s="420"/>
      <c r="W12" s="383"/>
      <c r="X12" s="420"/>
    </row>
    <row r="13" spans="1:24" ht="22.5">
      <c r="A13" s="384"/>
      <c r="B13" s="416" t="s">
        <v>290</v>
      </c>
      <c r="C13" s="396" t="s">
        <v>291</v>
      </c>
      <c r="D13" s="396" t="s">
        <v>292</v>
      </c>
      <c r="E13" s="397">
        <v>681</v>
      </c>
      <c r="F13" s="397">
        <v>1264839883</v>
      </c>
      <c r="G13" s="397">
        <v>1857327</v>
      </c>
      <c r="H13" s="398">
        <v>700</v>
      </c>
      <c r="I13" s="422">
        <v>1155000000</v>
      </c>
      <c r="J13" s="423">
        <v>1650000</v>
      </c>
      <c r="K13" s="424">
        <v>730</v>
      </c>
      <c r="L13" s="422">
        <v>1603853570</v>
      </c>
      <c r="M13" s="423">
        <v>2197059.6849315069</v>
      </c>
      <c r="N13" s="424">
        <v>707</v>
      </c>
      <c r="O13" s="561">
        <v>1593260213</v>
      </c>
      <c r="P13" s="548">
        <v>2253550.5134370578</v>
      </c>
      <c r="Q13" s="548">
        <v>396223.51343705785</v>
      </c>
      <c r="R13" s="548">
        <v>603550.51343705785</v>
      </c>
      <c r="S13" s="274">
        <v>56490.828505550977</v>
      </c>
      <c r="T13" s="383"/>
      <c r="U13" s="383"/>
      <c r="V13" s="420"/>
      <c r="W13" s="383"/>
      <c r="X13" s="420"/>
    </row>
    <row r="14" spans="1:24" ht="22.5">
      <c r="A14" s="384"/>
      <c r="B14" s="416" t="s">
        <v>233</v>
      </c>
      <c r="C14" s="396" t="s">
        <v>234</v>
      </c>
      <c r="D14" s="396" t="s">
        <v>235</v>
      </c>
      <c r="E14" s="397">
        <v>680</v>
      </c>
      <c r="F14" s="397">
        <v>1768352830.8499999</v>
      </c>
      <c r="G14" s="397">
        <v>2600519</v>
      </c>
      <c r="H14" s="401">
        <v>755</v>
      </c>
      <c r="I14" s="422">
        <v>1310000000</v>
      </c>
      <c r="J14" s="423">
        <v>1735099.3377483443</v>
      </c>
      <c r="K14" s="425">
        <v>714</v>
      </c>
      <c r="L14" s="422">
        <v>1900629953</v>
      </c>
      <c r="M14" s="423">
        <v>2661946.7128851539</v>
      </c>
      <c r="N14" s="425">
        <v>699</v>
      </c>
      <c r="O14" s="561">
        <v>1844580814</v>
      </c>
      <c r="P14" s="548">
        <v>2638885.2846924178</v>
      </c>
      <c r="Q14" s="548">
        <v>38366.28469241783</v>
      </c>
      <c r="R14" s="548">
        <v>903785.94694407354</v>
      </c>
      <c r="S14" s="274">
        <v>-23061.428192736115</v>
      </c>
      <c r="T14" s="383"/>
      <c r="U14" s="383"/>
      <c r="V14" s="383"/>
      <c r="W14" s="383"/>
      <c r="X14" s="383"/>
    </row>
    <row r="15" spans="1:24" ht="22.5">
      <c r="A15" s="384"/>
      <c r="B15" s="416" t="s">
        <v>276</v>
      </c>
      <c r="C15" s="396" t="s">
        <v>366</v>
      </c>
      <c r="D15" s="400" t="s">
        <v>237</v>
      </c>
      <c r="E15" s="397">
        <v>1556</v>
      </c>
      <c r="F15" s="397">
        <v>454073820</v>
      </c>
      <c r="G15" s="397">
        <v>291821</v>
      </c>
      <c r="H15" s="399">
        <v>4500</v>
      </c>
      <c r="I15" s="422">
        <v>1321300000</v>
      </c>
      <c r="J15" s="423">
        <v>293622.22222222225</v>
      </c>
      <c r="K15" s="426">
        <v>3953</v>
      </c>
      <c r="L15" s="422">
        <v>904640000</v>
      </c>
      <c r="M15" s="423">
        <v>228848.97546167468</v>
      </c>
      <c r="N15" s="423">
        <v>2543</v>
      </c>
      <c r="O15" s="561">
        <v>662456183</v>
      </c>
      <c r="P15" s="548">
        <v>260501.84152575699</v>
      </c>
      <c r="Q15" s="548">
        <v>-31319.158474243013</v>
      </c>
      <c r="R15" s="548">
        <v>-33120.380696465261</v>
      </c>
      <c r="S15" s="274">
        <v>31652.866064082307</v>
      </c>
      <c r="T15" s="383"/>
      <c r="U15" s="383"/>
      <c r="V15" s="383"/>
      <c r="W15" s="383"/>
      <c r="X15" s="383"/>
    </row>
    <row r="16" spans="1:24" ht="33.75">
      <c r="A16" s="384"/>
      <c r="B16" s="416" t="s">
        <v>277</v>
      </c>
      <c r="C16" s="396" t="s">
        <v>278</v>
      </c>
      <c r="D16" s="400" t="s">
        <v>244</v>
      </c>
      <c r="E16" s="397"/>
      <c r="F16" s="397">
        <v>0</v>
      </c>
      <c r="G16" s="397"/>
      <c r="H16" s="399">
        <v>802</v>
      </c>
      <c r="I16" s="422">
        <v>70000000</v>
      </c>
      <c r="J16" s="423">
        <v>87281.79551122195</v>
      </c>
      <c r="K16" s="426">
        <v>802</v>
      </c>
      <c r="L16" s="422">
        <v>70000000</v>
      </c>
      <c r="M16" s="423">
        <v>87281.79551122195</v>
      </c>
      <c r="N16" s="427">
        <v>802</v>
      </c>
      <c r="O16" s="561">
        <v>69999960</v>
      </c>
      <c r="P16" s="548">
        <v>87281.745635910222</v>
      </c>
      <c r="Q16" s="548">
        <v>87281.745635910222</v>
      </c>
      <c r="R16" s="548">
        <v>-4.9875311728101224E-2</v>
      </c>
      <c r="S16" s="274">
        <v>-4.9875311728101224E-2</v>
      </c>
      <c r="T16" s="383"/>
      <c r="U16" s="383"/>
      <c r="V16" s="383"/>
      <c r="W16" s="383"/>
      <c r="X16" s="420"/>
    </row>
    <row r="17" spans="1:24" ht="22.5">
      <c r="A17" s="384"/>
      <c r="B17" s="416" t="s">
        <v>279</v>
      </c>
      <c r="C17" s="396" t="s">
        <v>280</v>
      </c>
      <c r="D17" s="400" t="s">
        <v>281</v>
      </c>
      <c r="E17" s="397">
        <v>1053</v>
      </c>
      <c r="F17" s="397">
        <v>52680395</v>
      </c>
      <c r="G17" s="397"/>
      <c r="H17" s="399">
        <v>1100</v>
      </c>
      <c r="I17" s="422">
        <v>108350000</v>
      </c>
      <c r="J17" s="423">
        <v>98500</v>
      </c>
      <c r="K17" s="426">
        <v>1100</v>
      </c>
      <c r="L17" s="422">
        <v>108350000</v>
      </c>
      <c r="M17" s="423">
        <v>98500</v>
      </c>
      <c r="N17" s="427">
        <v>1100</v>
      </c>
      <c r="O17" s="561">
        <v>108197799</v>
      </c>
      <c r="P17" s="548">
        <v>98361.635454545452</v>
      </c>
      <c r="Q17" s="548">
        <v>98361.635454545452</v>
      </c>
      <c r="R17" s="548">
        <v>-138.36454545454762</v>
      </c>
      <c r="S17" s="274">
        <v>-138.36454545454762</v>
      </c>
      <c r="T17" s="383"/>
      <c r="U17" s="383"/>
      <c r="V17" s="383"/>
      <c r="W17" s="383"/>
      <c r="X17" s="420"/>
    </row>
    <row r="18" spans="1:24" ht="33.75">
      <c r="A18" s="384"/>
      <c r="B18" s="416" t="s">
        <v>314</v>
      </c>
      <c r="C18" s="396" t="s">
        <v>367</v>
      </c>
      <c r="D18" s="400" t="s">
        <v>241</v>
      </c>
      <c r="E18" s="397">
        <v>1</v>
      </c>
      <c r="F18" s="397">
        <v>20775167</v>
      </c>
      <c r="G18" s="397">
        <v>50029</v>
      </c>
      <c r="H18" s="399"/>
      <c r="I18" s="422"/>
      <c r="J18" s="423"/>
      <c r="K18" s="426"/>
      <c r="L18" s="422"/>
      <c r="M18" s="423"/>
      <c r="N18" s="427" t="e">
        <v>#DIV/0!</v>
      </c>
      <c r="O18" s="561"/>
      <c r="P18" s="548"/>
      <c r="Q18" s="548">
        <v>-50029</v>
      </c>
      <c r="R18" s="548">
        <v>0</v>
      </c>
      <c r="S18" s="274">
        <v>0</v>
      </c>
      <c r="T18" s="383"/>
      <c r="U18" s="383"/>
      <c r="V18" s="383"/>
      <c r="W18" s="383"/>
      <c r="X18" s="420"/>
    </row>
    <row r="19" spans="1:24" ht="33.75">
      <c r="A19" s="384"/>
      <c r="B19" s="416" t="s">
        <v>283</v>
      </c>
      <c r="C19" s="396" t="s">
        <v>284</v>
      </c>
      <c r="D19" s="400" t="s">
        <v>285</v>
      </c>
      <c r="E19" s="397">
        <v>0</v>
      </c>
      <c r="F19" s="397">
        <v>0</v>
      </c>
      <c r="G19" s="397"/>
      <c r="H19" s="399"/>
      <c r="I19" s="422">
        <v>41650000</v>
      </c>
      <c r="J19" s="423">
        <v>41650000</v>
      </c>
      <c r="K19" s="426">
        <v>1</v>
      </c>
      <c r="L19" s="422">
        <v>41650000</v>
      </c>
      <c r="M19" s="423">
        <v>41650000</v>
      </c>
      <c r="N19" s="427">
        <v>0</v>
      </c>
      <c r="O19" s="561">
        <v>0</v>
      </c>
      <c r="P19" s="548" t="e">
        <v>#DIV/0!</v>
      </c>
      <c r="Q19" s="548" t="e">
        <v>#DIV/0!</v>
      </c>
      <c r="R19" s="548" t="e">
        <v>#DIV/0!</v>
      </c>
      <c r="S19" s="274" t="e">
        <v>#DIV/0!</v>
      </c>
      <c r="T19" s="383"/>
      <c r="U19" s="383"/>
      <c r="V19" s="383"/>
      <c r="W19" s="383"/>
      <c r="X19" s="383"/>
    </row>
    <row r="20" spans="1:24" ht="22.5">
      <c r="A20" s="384"/>
      <c r="B20" s="416" t="s">
        <v>282</v>
      </c>
      <c r="C20" s="396" t="s">
        <v>318</v>
      </c>
      <c r="D20" s="400" t="s">
        <v>237</v>
      </c>
      <c r="E20" s="397">
        <v>0</v>
      </c>
      <c r="F20" s="397">
        <v>5842093</v>
      </c>
      <c r="G20" s="397">
        <v>0</v>
      </c>
      <c r="H20" s="399">
        <v>250</v>
      </c>
      <c r="I20" s="422">
        <v>30000000</v>
      </c>
      <c r="J20" s="423">
        <v>120000</v>
      </c>
      <c r="K20" s="426">
        <v>250</v>
      </c>
      <c r="L20" s="422">
        <v>30000000</v>
      </c>
      <c r="M20" s="423">
        <v>120000</v>
      </c>
      <c r="N20" s="427">
        <v>0</v>
      </c>
      <c r="O20" s="561">
        <v>0</v>
      </c>
      <c r="P20" s="548" t="e">
        <v>#DIV/0!</v>
      </c>
      <c r="Q20" s="548" t="e">
        <v>#DIV/0!</v>
      </c>
      <c r="R20" s="548" t="e">
        <v>#DIV/0!</v>
      </c>
      <c r="S20" s="274" t="e">
        <v>#DIV/0!</v>
      </c>
      <c r="T20" s="383"/>
      <c r="U20" s="383"/>
      <c r="V20" s="383"/>
      <c r="W20" s="383"/>
      <c r="X20" s="383"/>
    </row>
    <row r="21" spans="1:24" ht="15">
      <c r="A21" s="384"/>
      <c r="B21" s="416" t="s">
        <v>286</v>
      </c>
      <c r="C21" s="396" t="s">
        <v>368</v>
      </c>
      <c r="D21" s="400"/>
      <c r="E21" s="397"/>
      <c r="F21" s="397"/>
      <c r="G21" s="397"/>
      <c r="H21" s="399"/>
      <c r="I21" s="422">
        <v>0</v>
      </c>
      <c r="J21" s="423">
        <v>0</v>
      </c>
      <c r="K21" s="426">
        <v>1</v>
      </c>
      <c r="L21" s="422">
        <v>502060000</v>
      </c>
      <c r="M21" s="423">
        <v>502060000</v>
      </c>
      <c r="N21" s="427">
        <v>1</v>
      </c>
      <c r="O21" s="561">
        <v>502060000</v>
      </c>
      <c r="P21" s="548">
        <v>502060000</v>
      </c>
      <c r="Q21" s="548">
        <v>502060000</v>
      </c>
      <c r="R21" s="548">
        <v>502060000</v>
      </c>
      <c r="S21" s="274">
        <v>0</v>
      </c>
      <c r="T21" s="383"/>
      <c r="U21" s="383"/>
      <c r="V21" s="383"/>
      <c r="W21" s="383"/>
      <c r="X21" s="383"/>
    </row>
    <row r="22" spans="1:24" ht="15">
      <c r="A22" s="384"/>
      <c r="B22" s="416" t="s">
        <v>254</v>
      </c>
      <c r="C22" s="396" t="s">
        <v>255</v>
      </c>
      <c r="D22" s="396" t="s">
        <v>369</v>
      </c>
      <c r="E22" s="397">
        <v>0</v>
      </c>
      <c r="F22" s="397">
        <v>0</v>
      </c>
      <c r="G22" s="397">
        <v>0</v>
      </c>
      <c r="H22" s="399">
        <v>0</v>
      </c>
      <c r="I22" s="422">
        <v>150000000</v>
      </c>
      <c r="J22" s="423">
        <v>0</v>
      </c>
      <c r="K22" s="426">
        <v>1</v>
      </c>
      <c r="L22" s="422">
        <v>150000000</v>
      </c>
      <c r="M22" s="423">
        <v>150000000</v>
      </c>
      <c r="N22" s="426">
        <v>1</v>
      </c>
      <c r="O22" s="561">
        <v>150000000</v>
      </c>
      <c r="P22" s="548">
        <v>150000000</v>
      </c>
      <c r="Q22" s="548">
        <v>150000000</v>
      </c>
      <c r="R22" s="548">
        <v>150000000</v>
      </c>
      <c r="S22" s="274">
        <v>0</v>
      </c>
      <c r="T22" s="383"/>
      <c r="U22" s="383"/>
      <c r="V22" s="383"/>
      <c r="W22" s="383"/>
      <c r="X22" s="383"/>
    </row>
    <row r="23" spans="1:24" ht="22.5">
      <c r="A23" s="384"/>
      <c r="B23" s="416" t="s">
        <v>293</v>
      </c>
      <c r="C23" s="396" t="s">
        <v>294</v>
      </c>
      <c r="D23" s="400" t="s">
        <v>244</v>
      </c>
      <c r="E23" s="397"/>
      <c r="F23" s="397">
        <v>0</v>
      </c>
      <c r="G23" s="397"/>
      <c r="H23" s="399">
        <v>1</v>
      </c>
      <c r="I23" s="422">
        <v>4500000</v>
      </c>
      <c r="J23" s="423">
        <v>4500000</v>
      </c>
      <c r="K23" s="426">
        <v>0</v>
      </c>
      <c r="L23" s="422">
        <v>0</v>
      </c>
      <c r="M23" s="423" t="e">
        <v>#DIV/0!</v>
      </c>
      <c r="N23" s="426"/>
      <c r="O23" s="561">
        <v>0</v>
      </c>
      <c r="P23" s="548" t="e">
        <v>#DIV/0!</v>
      </c>
      <c r="Q23" s="548" t="e">
        <v>#DIV/0!</v>
      </c>
      <c r="R23" s="548" t="e">
        <v>#DIV/0!</v>
      </c>
      <c r="S23" s="274" t="e">
        <v>#DIV/0!</v>
      </c>
      <c r="T23" s="383"/>
      <c r="U23" s="383"/>
      <c r="V23" s="383"/>
      <c r="W23" s="383"/>
      <c r="X23" s="383"/>
    </row>
    <row r="24" spans="1:24" ht="33.75">
      <c r="A24" s="384"/>
      <c r="B24" s="436" t="s">
        <v>215</v>
      </c>
      <c r="C24" s="435" t="s">
        <v>798</v>
      </c>
      <c r="D24" s="400"/>
      <c r="E24" s="397"/>
      <c r="F24" s="397"/>
      <c r="G24" s="397"/>
      <c r="H24" s="399">
        <v>1</v>
      </c>
      <c r="I24" s="422">
        <v>1100000000</v>
      </c>
      <c r="J24" s="423">
        <v>1100000000</v>
      </c>
      <c r="K24" s="426">
        <v>0</v>
      </c>
      <c r="L24" s="422">
        <v>0</v>
      </c>
      <c r="M24" s="423" t="e">
        <v>#DIV/0!</v>
      </c>
      <c r="N24" s="426"/>
      <c r="O24" s="561">
        <v>0</v>
      </c>
      <c r="P24" s="548" t="e">
        <v>#DIV/0!</v>
      </c>
      <c r="Q24" s="548" t="e">
        <v>#DIV/0!</v>
      </c>
      <c r="R24" s="548" t="e">
        <v>#DIV/0!</v>
      </c>
      <c r="S24" s="274" t="e">
        <v>#DIV/0!</v>
      </c>
      <c r="T24" s="383"/>
      <c r="U24" s="383"/>
      <c r="V24" s="383"/>
      <c r="W24" s="383"/>
      <c r="X24" s="383"/>
    </row>
    <row r="25" spans="1:24" ht="22.5">
      <c r="A25" s="384"/>
      <c r="B25" s="416" t="s">
        <v>304</v>
      </c>
      <c r="C25" s="396" t="s">
        <v>305</v>
      </c>
      <c r="D25" s="400" t="s">
        <v>237</v>
      </c>
      <c r="E25" s="397"/>
      <c r="F25" s="397">
        <v>0</v>
      </c>
      <c r="G25" s="397" t="e">
        <v>#DIV/0!</v>
      </c>
      <c r="H25" s="399">
        <v>500</v>
      </c>
      <c r="I25" s="422">
        <v>12804000</v>
      </c>
      <c r="J25" s="423">
        <v>25608</v>
      </c>
      <c r="K25" s="426">
        <v>0</v>
      </c>
      <c r="L25" s="422">
        <v>0</v>
      </c>
      <c r="M25" s="423" t="e">
        <v>#DIV/0!</v>
      </c>
      <c r="N25" s="426"/>
      <c r="O25" s="561">
        <v>0</v>
      </c>
      <c r="P25" s="548" t="e">
        <v>#DIV/0!</v>
      </c>
      <c r="Q25" s="548" t="e">
        <v>#DIV/0!</v>
      </c>
      <c r="R25" s="548" t="e">
        <v>#DIV/0!</v>
      </c>
      <c r="S25" s="274" t="e">
        <v>#DIV/0!</v>
      </c>
      <c r="T25" s="383"/>
      <c r="U25" s="383"/>
      <c r="V25" s="383"/>
      <c r="W25" s="383"/>
      <c r="X25" s="383"/>
    </row>
    <row r="26" spans="1:24" ht="22.5">
      <c r="A26" s="384"/>
      <c r="B26" s="416" t="s">
        <v>327</v>
      </c>
      <c r="C26" s="396" t="s">
        <v>370</v>
      </c>
      <c r="D26" s="396" t="s">
        <v>180</v>
      </c>
      <c r="E26" s="397">
        <v>1</v>
      </c>
      <c r="F26" s="397">
        <v>13660412</v>
      </c>
      <c r="G26" s="397">
        <v>13660412</v>
      </c>
      <c r="H26" s="399">
        <v>0</v>
      </c>
      <c r="I26" s="422">
        <v>0</v>
      </c>
      <c r="J26" s="423">
        <v>0</v>
      </c>
      <c r="K26" s="426">
        <v>0</v>
      </c>
      <c r="L26" s="422">
        <v>0</v>
      </c>
      <c r="M26" s="423">
        <v>0</v>
      </c>
      <c r="N26" s="426">
        <v>0</v>
      </c>
      <c r="O26" s="561">
        <v>0</v>
      </c>
      <c r="P26" s="548">
        <v>0</v>
      </c>
      <c r="Q26" s="548">
        <v>-13660412</v>
      </c>
      <c r="R26" s="548">
        <v>0</v>
      </c>
      <c r="S26" s="274">
        <v>0</v>
      </c>
      <c r="T26" s="383"/>
      <c r="U26" s="383"/>
      <c r="V26" s="383"/>
      <c r="W26" s="383"/>
      <c r="X26" s="383"/>
    </row>
    <row r="27" spans="1:24" ht="22.5">
      <c r="A27" s="384"/>
      <c r="B27" s="416" t="s">
        <v>299</v>
      </c>
      <c r="C27" s="396" t="s">
        <v>300</v>
      </c>
      <c r="D27" s="400" t="s">
        <v>301</v>
      </c>
      <c r="E27" s="397">
        <v>0</v>
      </c>
      <c r="F27" s="397">
        <v>0</v>
      </c>
      <c r="G27" s="397">
        <v>0</v>
      </c>
      <c r="H27" s="399">
        <v>4</v>
      </c>
      <c r="I27" s="422">
        <v>16000000</v>
      </c>
      <c r="J27" s="423">
        <v>4000000</v>
      </c>
      <c r="K27" s="426">
        <v>0</v>
      </c>
      <c r="L27" s="422">
        <v>0</v>
      </c>
      <c r="M27" s="423" t="e">
        <v>#DIV/0!</v>
      </c>
      <c r="N27" s="426"/>
      <c r="O27" s="561">
        <v>0</v>
      </c>
      <c r="P27" s="548" t="e">
        <v>#DIV/0!</v>
      </c>
      <c r="Q27" s="548" t="e">
        <v>#DIV/0!</v>
      </c>
      <c r="R27" s="548" t="e">
        <v>#DIV/0!</v>
      </c>
      <c r="S27" s="274" t="e">
        <v>#DIV/0!</v>
      </c>
      <c r="T27" s="383"/>
      <c r="U27" s="383"/>
      <c r="V27" s="383"/>
      <c r="W27" s="383"/>
      <c r="X27" s="383"/>
    </row>
    <row r="28" spans="1:24" ht="22.5">
      <c r="A28" s="384"/>
      <c r="B28" s="416" t="s">
        <v>295</v>
      </c>
      <c r="C28" s="396" t="s">
        <v>329</v>
      </c>
      <c r="D28" s="400" t="s">
        <v>241</v>
      </c>
      <c r="E28" s="397">
        <v>0</v>
      </c>
      <c r="F28" s="397">
        <v>0</v>
      </c>
      <c r="G28" s="397">
        <v>0</v>
      </c>
      <c r="H28" s="399">
        <v>4</v>
      </c>
      <c r="I28" s="422">
        <v>28000000</v>
      </c>
      <c r="J28" s="423">
        <v>7000000</v>
      </c>
      <c r="K28" s="426">
        <v>0</v>
      </c>
      <c r="L28" s="422">
        <v>0</v>
      </c>
      <c r="M28" s="423" t="e">
        <v>#DIV/0!</v>
      </c>
      <c r="N28" s="426"/>
      <c r="O28" s="561">
        <v>0</v>
      </c>
      <c r="P28" s="548" t="e">
        <v>#DIV/0!</v>
      </c>
      <c r="Q28" s="548" t="e">
        <v>#DIV/0!</v>
      </c>
      <c r="R28" s="548" t="e">
        <v>#DIV/0!</v>
      </c>
      <c r="S28" s="274" t="e">
        <v>#DIV/0!</v>
      </c>
      <c r="T28" s="383"/>
      <c r="U28" s="383"/>
      <c r="V28" s="383"/>
      <c r="W28" s="383"/>
      <c r="X28" s="383"/>
    </row>
    <row r="29" spans="1:24" ht="33.75">
      <c r="A29" s="384"/>
      <c r="B29" s="416" t="s">
        <v>306</v>
      </c>
      <c r="C29" s="396" t="s">
        <v>330</v>
      </c>
      <c r="D29" s="400" t="s">
        <v>261</v>
      </c>
      <c r="E29" s="397">
        <v>0</v>
      </c>
      <c r="F29" s="397">
        <v>0</v>
      </c>
      <c r="G29" s="397">
        <v>0</v>
      </c>
      <c r="H29" s="399">
        <v>200</v>
      </c>
      <c r="I29" s="422">
        <v>28000000</v>
      </c>
      <c r="J29" s="423">
        <v>140000</v>
      </c>
      <c r="K29" s="426">
        <v>8887</v>
      </c>
      <c r="L29" s="422">
        <v>62211205</v>
      </c>
      <c r="M29" s="423">
        <v>7000.2481152244854</v>
      </c>
      <c r="N29" s="423">
        <v>8887</v>
      </c>
      <c r="O29" s="561">
        <v>62211205</v>
      </c>
      <c r="P29" s="548">
        <v>7000.2481152244854</v>
      </c>
      <c r="Q29" s="548">
        <v>7000.2481152244854</v>
      </c>
      <c r="R29" s="548">
        <v>-132999.75188477553</v>
      </c>
      <c r="S29" s="274">
        <v>0</v>
      </c>
      <c r="T29" s="383"/>
      <c r="U29" s="383"/>
      <c r="V29" s="383"/>
      <c r="W29" s="383"/>
      <c r="X29" s="383"/>
    </row>
    <row r="30" spans="1:24" ht="67.5">
      <c r="A30" s="384"/>
      <c r="B30" s="416" t="s">
        <v>303</v>
      </c>
      <c r="C30" s="396" t="s">
        <v>371</v>
      </c>
      <c r="D30" s="400" t="s">
        <v>281</v>
      </c>
      <c r="E30" s="397">
        <v>0</v>
      </c>
      <c r="F30" s="397">
        <v>0</v>
      </c>
      <c r="G30" s="397">
        <v>0</v>
      </c>
      <c r="H30" s="426">
        <v>9000</v>
      </c>
      <c r="I30" s="422">
        <v>27000000</v>
      </c>
      <c r="J30" s="423">
        <v>3000</v>
      </c>
      <c r="K30" s="426">
        <v>79</v>
      </c>
      <c r="L30" s="422">
        <v>712400</v>
      </c>
      <c r="M30" s="423">
        <v>9017.7215189873423</v>
      </c>
      <c r="N30" s="423">
        <v>0</v>
      </c>
      <c r="O30" s="561">
        <v>0</v>
      </c>
      <c r="P30" s="548" t="e">
        <v>#DIV/0!</v>
      </c>
      <c r="Q30" s="548" t="e">
        <v>#DIV/0!</v>
      </c>
      <c r="R30" s="548" t="e">
        <v>#DIV/0!</v>
      </c>
      <c r="S30" s="274" t="e">
        <v>#DIV/0!</v>
      </c>
      <c r="T30" s="383"/>
      <c r="U30" s="383"/>
      <c r="V30" s="383"/>
      <c r="W30" s="383"/>
      <c r="X30" s="383"/>
    </row>
    <row r="31" spans="1:24" ht="45">
      <c r="A31" s="384"/>
      <c r="B31" s="416" t="s">
        <v>298</v>
      </c>
      <c r="C31" s="396" t="s">
        <v>372</v>
      </c>
      <c r="D31" s="400" t="s">
        <v>244</v>
      </c>
      <c r="E31" s="397">
        <v>0</v>
      </c>
      <c r="F31" s="397">
        <v>0</v>
      </c>
      <c r="G31" s="397">
        <v>0</v>
      </c>
      <c r="H31" s="399">
        <v>4</v>
      </c>
      <c r="I31" s="422">
        <v>20000000</v>
      </c>
      <c r="J31" s="423">
        <v>5000000</v>
      </c>
      <c r="K31" s="426"/>
      <c r="L31" s="422"/>
      <c r="M31" s="423" t="e">
        <v>#DIV/0!</v>
      </c>
      <c r="N31" s="423" t="e">
        <v>#DIV/0!</v>
      </c>
      <c r="O31" s="561">
        <v>0</v>
      </c>
      <c r="P31" s="548" t="e">
        <v>#DIV/0!</v>
      </c>
      <c r="Q31" s="548" t="e">
        <v>#DIV/0!</v>
      </c>
      <c r="R31" s="548" t="e">
        <v>#DIV/0!</v>
      </c>
      <c r="S31" s="274" t="e">
        <v>#DIV/0!</v>
      </c>
      <c r="T31" s="383"/>
      <c r="U31" s="383"/>
      <c r="V31" s="383"/>
      <c r="W31" s="383"/>
      <c r="X31" s="383"/>
    </row>
    <row r="32" spans="1:24" ht="33.75">
      <c r="A32" s="384"/>
      <c r="B32" s="416" t="s">
        <v>296</v>
      </c>
      <c r="C32" s="396" t="s">
        <v>335</v>
      </c>
      <c r="D32" s="400" t="s">
        <v>281</v>
      </c>
      <c r="E32" s="397">
        <v>0</v>
      </c>
      <c r="F32" s="397">
        <v>0</v>
      </c>
      <c r="G32" s="397">
        <v>0</v>
      </c>
      <c r="H32" s="399">
        <v>1000</v>
      </c>
      <c r="I32" s="422">
        <v>17080000</v>
      </c>
      <c r="J32" s="423">
        <v>17080</v>
      </c>
      <c r="K32" s="426">
        <v>415</v>
      </c>
      <c r="L32" s="422">
        <v>7080000</v>
      </c>
      <c r="M32" s="423">
        <v>17060.24096385542</v>
      </c>
      <c r="N32" s="423">
        <v>0</v>
      </c>
      <c r="O32" s="561">
        <v>0</v>
      </c>
      <c r="P32" s="548" t="e">
        <v>#DIV/0!</v>
      </c>
      <c r="Q32" s="548" t="e">
        <v>#DIV/0!</v>
      </c>
      <c r="R32" s="548" t="e">
        <v>#DIV/0!</v>
      </c>
      <c r="S32" s="274" t="e">
        <v>#DIV/0!</v>
      </c>
      <c r="T32" s="383"/>
      <c r="U32" s="383"/>
      <c r="V32" s="383"/>
      <c r="W32" s="383"/>
      <c r="X32" s="383"/>
    </row>
    <row r="33" spans="1:19" ht="67.5">
      <c r="A33" s="384"/>
      <c r="B33" s="416" t="s">
        <v>302</v>
      </c>
      <c r="C33" s="396" t="s">
        <v>373</v>
      </c>
      <c r="D33" s="400" t="s">
        <v>287</v>
      </c>
      <c r="E33" s="397">
        <v>0</v>
      </c>
      <c r="F33" s="397">
        <v>2.25</v>
      </c>
      <c r="G33" s="397">
        <v>0</v>
      </c>
      <c r="H33" s="399">
        <v>9000</v>
      </c>
      <c r="I33" s="422">
        <v>108000000</v>
      </c>
      <c r="J33" s="423">
        <v>12000</v>
      </c>
      <c r="K33" s="426">
        <v>2166</v>
      </c>
      <c r="L33" s="422">
        <v>25999315</v>
      </c>
      <c r="M33" s="423">
        <v>12003.377192982456</v>
      </c>
      <c r="N33" s="423">
        <v>2058</v>
      </c>
      <c r="O33" s="561">
        <v>24702001</v>
      </c>
      <c r="P33" s="548">
        <v>12002.915937803693</v>
      </c>
      <c r="Q33" s="548">
        <v>12002.915937803693</v>
      </c>
      <c r="R33" s="548">
        <v>2.9159378036929411</v>
      </c>
      <c r="S33" s="274">
        <v>-0.46125517876316735</v>
      </c>
    </row>
    <row r="34" spans="1:19" ht="22.5">
      <c r="A34" s="384"/>
      <c r="B34" s="416" t="s">
        <v>308</v>
      </c>
      <c r="C34" s="396" t="s">
        <v>337</v>
      </c>
      <c r="D34" s="400" t="s">
        <v>237</v>
      </c>
      <c r="E34" s="397">
        <v>0</v>
      </c>
      <c r="F34" s="397">
        <v>0</v>
      </c>
      <c r="G34" s="397">
        <v>0</v>
      </c>
      <c r="H34" s="399">
        <v>350</v>
      </c>
      <c r="I34" s="422">
        <v>10000000</v>
      </c>
      <c r="J34" s="423">
        <v>28571.428571428572</v>
      </c>
      <c r="K34" s="426">
        <v>0</v>
      </c>
      <c r="L34" s="422">
        <v>0</v>
      </c>
      <c r="M34" s="423" t="e">
        <v>#DIV/0!</v>
      </c>
      <c r="N34" s="423" t="e">
        <v>#DIV/0!</v>
      </c>
      <c r="O34" s="561">
        <v>0</v>
      </c>
      <c r="P34" s="548" t="e">
        <v>#DIV/0!</v>
      </c>
      <c r="Q34" s="548" t="e">
        <v>#DIV/0!</v>
      </c>
      <c r="R34" s="548" t="e">
        <v>#DIV/0!</v>
      </c>
      <c r="S34" s="274" t="e">
        <v>#DIV/0!</v>
      </c>
    </row>
    <row r="35" spans="1:19" ht="56.25">
      <c r="A35" s="384"/>
      <c r="B35" s="416" t="s">
        <v>307</v>
      </c>
      <c r="C35" s="396" t="s">
        <v>374</v>
      </c>
      <c r="D35" s="400" t="s">
        <v>281</v>
      </c>
      <c r="E35" s="397">
        <v>0</v>
      </c>
      <c r="F35" s="397">
        <v>0</v>
      </c>
      <c r="G35" s="397">
        <v>0</v>
      </c>
      <c r="H35" s="399">
        <v>2000</v>
      </c>
      <c r="I35" s="422">
        <v>147727000</v>
      </c>
      <c r="J35" s="423">
        <v>73863.5</v>
      </c>
      <c r="K35" s="426">
        <v>0</v>
      </c>
      <c r="L35" s="422">
        <v>0</v>
      </c>
      <c r="M35" s="423" t="e">
        <v>#DIV/0!</v>
      </c>
      <c r="N35" s="423" t="e">
        <v>#DIV/0!</v>
      </c>
      <c r="O35" s="561">
        <v>0</v>
      </c>
      <c r="P35" s="548" t="e">
        <v>#DIV/0!</v>
      </c>
      <c r="Q35" s="548" t="e">
        <v>#DIV/0!</v>
      </c>
      <c r="R35" s="548" t="e">
        <v>#DIV/0!</v>
      </c>
      <c r="S35" s="274" t="e">
        <v>#DIV/0!</v>
      </c>
    </row>
    <row r="36" spans="1:19" ht="22.5">
      <c r="A36" s="384"/>
      <c r="B36" s="416" t="s">
        <v>309</v>
      </c>
      <c r="C36" s="396" t="s">
        <v>339</v>
      </c>
      <c r="D36" s="400" t="s">
        <v>310</v>
      </c>
      <c r="E36" s="397">
        <v>0</v>
      </c>
      <c r="F36" s="397">
        <v>0</v>
      </c>
      <c r="G36" s="397">
        <v>0</v>
      </c>
      <c r="H36" s="399">
        <v>4</v>
      </c>
      <c r="I36" s="422">
        <v>32000000</v>
      </c>
      <c r="J36" s="423">
        <v>8000000</v>
      </c>
      <c r="K36" s="426"/>
      <c r="L36" s="422">
        <v>0</v>
      </c>
      <c r="M36" s="423" t="e">
        <v>#DIV/0!</v>
      </c>
      <c r="N36" s="423" t="e">
        <v>#DIV/0!</v>
      </c>
      <c r="O36" s="561">
        <v>0</v>
      </c>
      <c r="P36" s="548" t="e">
        <v>#DIV/0!</v>
      </c>
      <c r="Q36" s="548" t="e">
        <v>#DIV/0!</v>
      </c>
      <c r="R36" s="548" t="e">
        <v>#DIV/0!</v>
      </c>
      <c r="S36" s="274" t="e">
        <v>#DIV/0!</v>
      </c>
    </row>
    <row r="37" spans="1:19" ht="45">
      <c r="A37" s="384"/>
      <c r="B37" s="416" t="s">
        <v>297</v>
      </c>
      <c r="C37" s="396" t="s">
        <v>375</v>
      </c>
      <c r="D37" s="400" t="s">
        <v>244</v>
      </c>
      <c r="E37" s="397">
        <v>0</v>
      </c>
      <c r="F37" s="397">
        <v>0</v>
      </c>
      <c r="G37" s="397">
        <v>0</v>
      </c>
      <c r="H37" s="399">
        <v>110</v>
      </c>
      <c r="I37" s="422">
        <v>8000000</v>
      </c>
      <c r="J37" s="423">
        <v>72727.272727272721</v>
      </c>
      <c r="K37" s="426"/>
      <c r="L37" s="422">
        <v>0</v>
      </c>
      <c r="M37" s="423" t="e">
        <v>#DIV/0!</v>
      </c>
      <c r="N37" s="423" t="e">
        <v>#DIV/0!</v>
      </c>
      <c r="O37" s="561">
        <v>0</v>
      </c>
      <c r="P37" s="548" t="e">
        <v>#DIV/0!</v>
      </c>
      <c r="Q37" s="548" t="e">
        <v>#DIV/0!</v>
      </c>
      <c r="R37" s="548" t="e">
        <v>#DIV/0!</v>
      </c>
      <c r="S37" s="274" t="e">
        <v>#DIV/0!</v>
      </c>
    </row>
    <row r="38" spans="1:19" ht="33.75">
      <c r="A38" s="384"/>
      <c r="B38" s="416" t="s">
        <v>238</v>
      </c>
      <c r="C38" s="396" t="s">
        <v>376</v>
      </c>
      <c r="D38" s="400" t="s">
        <v>239</v>
      </c>
      <c r="E38" s="397">
        <v>223</v>
      </c>
      <c r="F38" s="397">
        <v>61249357</v>
      </c>
      <c r="G38" s="397">
        <v>274660.79372197308</v>
      </c>
      <c r="H38" s="399">
        <v>400</v>
      </c>
      <c r="I38" s="422">
        <v>16000000</v>
      </c>
      <c r="J38" s="423">
        <v>40000</v>
      </c>
      <c r="K38" s="426">
        <v>400</v>
      </c>
      <c r="L38" s="422">
        <v>16000000</v>
      </c>
      <c r="M38" s="423">
        <v>40000</v>
      </c>
      <c r="N38" s="423">
        <v>0</v>
      </c>
      <c r="O38" s="561">
        <v>0</v>
      </c>
      <c r="P38" s="548" t="e">
        <v>#DIV/0!</v>
      </c>
      <c r="Q38" s="548" t="e">
        <v>#DIV/0!</v>
      </c>
      <c r="R38" s="548" t="e">
        <v>#DIV/0!</v>
      </c>
      <c r="S38" s="274" t="e">
        <v>#DIV/0!</v>
      </c>
    </row>
    <row r="39" spans="1:19" ht="22.5">
      <c r="A39" s="384"/>
      <c r="B39" s="416" t="s">
        <v>242</v>
      </c>
      <c r="C39" s="396" t="s">
        <v>243</v>
      </c>
      <c r="D39" s="400" t="s">
        <v>244</v>
      </c>
      <c r="E39" s="397">
        <v>0</v>
      </c>
      <c r="F39" s="397">
        <v>0</v>
      </c>
      <c r="G39" s="397">
        <v>0</v>
      </c>
      <c r="H39" s="426">
        <v>4000</v>
      </c>
      <c r="I39" s="422">
        <v>196000000</v>
      </c>
      <c r="J39" s="423">
        <v>49000</v>
      </c>
      <c r="K39" s="426">
        <v>4000</v>
      </c>
      <c r="L39" s="422">
        <v>196000000</v>
      </c>
      <c r="M39" s="423">
        <v>49000</v>
      </c>
      <c r="N39" s="423">
        <v>3491</v>
      </c>
      <c r="O39" s="561">
        <v>171068035</v>
      </c>
      <c r="P39" s="548">
        <v>49002.588083643655</v>
      </c>
      <c r="Q39" s="548">
        <v>49002.588083643655</v>
      </c>
      <c r="R39" s="548">
        <v>2.5880836436554091</v>
      </c>
      <c r="S39" s="274">
        <v>2.5880836436554091</v>
      </c>
    </row>
    <row r="40" spans="1:19" ht="22.5">
      <c r="A40" s="384"/>
      <c r="B40" s="416" t="s">
        <v>240</v>
      </c>
      <c r="C40" s="396" t="s">
        <v>342</v>
      </c>
      <c r="D40" s="400" t="s">
        <v>241</v>
      </c>
      <c r="E40" s="397">
        <v>2.5</v>
      </c>
      <c r="F40" s="397">
        <v>399999998.80000001</v>
      </c>
      <c r="G40" s="397">
        <v>159999999.52000001</v>
      </c>
      <c r="H40" s="399">
        <v>5</v>
      </c>
      <c r="I40" s="422">
        <v>780182000</v>
      </c>
      <c r="J40" s="423">
        <v>156036400</v>
      </c>
      <c r="K40" s="426">
        <v>0</v>
      </c>
      <c r="L40" s="422"/>
      <c r="M40" s="423" t="e">
        <v>#DIV/0!</v>
      </c>
      <c r="N40" s="423" t="e">
        <v>#DIV/0!</v>
      </c>
      <c r="O40" s="561">
        <v>0</v>
      </c>
      <c r="P40" s="548" t="e">
        <v>#DIV/0!</v>
      </c>
      <c r="Q40" s="548" t="e">
        <v>#DIV/0!</v>
      </c>
      <c r="R40" s="548" t="e">
        <v>#DIV/0!</v>
      </c>
      <c r="S40" s="274" t="e">
        <v>#DIV/0!</v>
      </c>
    </row>
    <row r="41" spans="1:19" ht="15">
      <c r="A41" s="384"/>
      <c r="B41" s="416" t="s">
        <v>248</v>
      </c>
      <c r="C41" s="396" t="s">
        <v>249</v>
      </c>
      <c r="D41" s="400" t="s">
        <v>241</v>
      </c>
      <c r="E41" s="397"/>
      <c r="F41" s="397">
        <v>0</v>
      </c>
      <c r="G41" s="397"/>
      <c r="H41" s="399">
        <v>5</v>
      </c>
      <c r="I41" s="422">
        <v>10158350000</v>
      </c>
      <c r="J41" s="423">
        <v>2031670000</v>
      </c>
      <c r="K41" s="426">
        <v>5</v>
      </c>
      <c r="L41" s="422">
        <v>11061350000</v>
      </c>
      <c r="M41" s="423">
        <v>2212270000</v>
      </c>
      <c r="N41" s="423">
        <v>0</v>
      </c>
      <c r="O41" s="561">
        <v>0</v>
      </c>
      <c r="P41" s="548" t="e">
        <v>#DIV/0!</v>
      </c>
      <c r="Q41" s="548" t="e">
        <v>#DIV/0!</v>
      </c>
      <c r="R41" s="548" t="e">
        <v>#DIV/0!</v>
      </c>
      <c r="S41" s="274" t="e">
        <v>#DIV/0!</v>
      </c>
    </row>
    <row r="42" spans="1:19" ht="22.5">
      <c r="A42" s="384"/>
      <c r="B42" s="416" t="s">
        <v>250</v>
      </c>
      <c r="C42" s="396" t="s">
        <v>251</v>
      </c>
      <c r="D42" s="400" t="s">
        <v>237</v>
      </c>
      <c r="E42" s="397">
        <v>136</v>
      </c>
      <c r="F42" s="397">
        <v>4080251</v>
      </c>
      <c r="G42" s="397">
        <v>30001.845588235294</v>
      </c>
      <c r="H42" s="399">
        <v>1640</v>
      </c>
      <c r="I42" s="422">
        <v>49230000</v>
      </c>
      <c r="J42" s="423">
        <v>30018.292682926829</v>
      </c>
      <c r="K42" s="426">
        <v>641</v>
      </c>
      <c r="L42" s="422">
        <v>19230000</v>
      </c>
      <c r="M42" s="423">
        <v>30000</v>
      </c>
      <c r="N42" s="423">
        <v>123</v>
      </c>
      <c r="O42" s="561">
        <v>3678170</v>
      </c>
      <c r="P42" s="548">
        <v>29903.82113821138</v>
      </c>
      <c r="Q42" s="548">
        <v>-98.024450023913232</v>
      </c>
      <c r="R42" s="548">
        <v>-114.47154471544854</v>
      </c>
      <c r="S42" s="274">
        <v>-96.178861788619542</v>
      </c>
    </row>
    <row r="43" spans="1:19" ht="22.5">
      <c r="A43" s="384"/>
      <c r="B43" s="416" t="s">
        <v>252</v>
      </c>
      <c r="C43" s="396" t="s">
        <v>343</v>
      </c>
      <c r="D43" s="400" t="s">
        <v>237</v>
      </c>
      <c r="E43" s="397">
        <v>2316</v>
      </c>
      <c r="F43" s="397">
        <v>64074018</v>
      </c>
      <c r="G43" s="397">
        <v>27665.810880829016</v>
      </c>
      <c r="H43" s="399">
        <v>14500</v>
      </c>
      <c r="I43" s="422">
        <v>400000000</v>
      </c>
      <c r="J43" s="423">
        <v>27586.206896551725</v>
      </c>
      <c r="K43" s="423">
        <v>2438</v>
      </c>
      <c r="L43" s="422">
        <v>65000000</v>
      </c>
      <c r="M43" s="423">
        <v>26661.197703035275</v>
      </c>
      <c r="N43" s="423">
        <v>1844</v>
      </c>
      <c r="O43" s="561">
        <v>49184321</v>
      </c>
      <c r="P43" s="548">
        <v>26672.625271149675</v>
      </c>
      <c r="Q43" s="548">
        <v>-993.18560967934172</v>
      </c>
      <c r="R43" s="548">
        <v>-913.58162540205012</v>
      </c>
      <c r="S43" s="274">
        <v>11.427568114399037</v>
      </c>
    </row>
    <row r="44" spans="1:19" ht="22.5">
      <c r="A44" s="384"/>
      <c r="B44" s="416" t="s">
        <v>253</v>
      </c>
      <c r="C44" s="396" t="s">
        <v>344</v>
      </c>
      <c r="D44" s="400" t="s">
        <v>237</v>
      </c>
      <c r="E44" s="397">
        <v>787</v>
      </c>
      <c r="F44" s="397">
        <v>141760950</v>
      </c>
      <c r="G44" s="397">
        <v>180128.27191867854</v>
      </c>
      <c r="H44" s="399">
        <v>2150</v>
      </c>
      <c r="I44" s="422">
        <v>116218000</v>
      </c>
      <c r="J44" s="423">
        <v>54054.883720930229</v>
      </c>
      <c r="K44" s="426">
        <v>2150</v>
      </c>
      <c r="L44" s="422">
        <v>132679000</v>
      </c>
      <c r="M44" s="423">
        <v>61711.162790697672</v>
      </c>
      <c r="N44" s="423">
        <v>2402</v>
      </c>
      <c r="O44" s="561">
        <v>129874999</v>
      </c>
      <c r="P44" s="548">
        <v>54069.524979184011</v>
      </c>
      <c r="Q44" s="548">
        <v>-126058.74693949454</v>
      </c>
      <c r="R44" s="548">
        <v>14.641258253781416</v>
      </c>
      <c r="S44" s="274">
        <v>-7641.6378115136613</v>
      </c>
    </row>
    <row r="45" spans="1:19" ht="22.5">
      <c r="A45" s="384"/>
      <c r="B45" s="416" t="s">
        <v>265</v>
      </c>
      <c r="C45" s="396" t="s">
        <v>377</v>
      </c>
      <c r="D45" s="400" t="s">
        <v>378</v>
      </c>
      <c r="E45" s="397"/>
      <c r="F45" s="397"/>
      <c r="G45" s="397"/>
      <c r="H45" s="399">
        <v>1</v>
      </c>
      <c r="I45" s="422">
        <v>300000000</v>
      </c>
      <c r="J45" s="423">
        <v>300000000</v>
      </c>
      <c r="K45" s="426">
        <v>0</v>
      </c>
      <c r="L45" s="422">
        <v>0</v>
      </c>
      <c r="M45" s="423" t="e">
        <v>#DIV/0!</v>
      </c>
      <c r="N45" s="423" t="e">
        <v>#DIV/0!</v>
      </c>
      <c r="O45" s="561">
        <v>0</v>
      </c>
      <c r="P45" s="548" t="e">
        <v>#DIV/0!</v>
      </c>
      <c r="Q45" s="548" t="e">
        <v>#DIV/0!</v>
      </c>
      <c r="R45" s="548" t="e">
        <v>#DIV/0!</v>
      </c>
      <c r="S45" s="274" t="e">
        <v>#DIV/0!</v>
      </c>
    </row>
    <row r="46" spans="1:19" ht="22.5">
      <c r="A46" s="384"/>
      <c r="B46" s="416" t="s">
        <v>245</v>
      </c>
      <c r="C46" s="396" t="s">
        <v>246</v>
      </c>
      <c r="D46" s="400" t="s">
        <v>247</v>
      </c>
      <c r="E46" s="397">
        <v>3</v>
      </c>
      <c r="F46" s="405">
        <v>299999999.87</v>
      </c>
      <c r="G46" s="397">
        <v>100000000</v>
      </c>
      <c r="H46" s="399">
        <v>2</v>
      </c>
      <c r="I46" s="422">
        <v>100000000</v>
      </c>
      <c r="J46" s="423">
        <v>50000000</v>
      </c>
      <c r="K46" s="426">
        <v>0</v>
      </c>
      <c r="L46" s="422">
        <v>0</v>
      </c>
      <c r="M46" s="423" t="e">
        <v>#DIV/0!</v>
      </c>
      <c r="N46" s="423" t="e">
        <v>#DIV/0!</v>
      </c>
      <c r="O46" s="561">
        <v>0</v>
      </c>
      <c r="P46" s="548" t="e">
        <v>#DIV/0!</v>
      </c>
      <c r="Q46" s="548" t="e">
        <v>#DIV/0!</v>
      </c>
      <c r="R46" s="548" t="e">
        <v>#DIV/0!</v>
      </c>
      <c r="S46" s="274" t="e">
        <v>#DIV/0!</v>
      </c>
    </row>
    <row r="47" spans="1:19" ht="15">
      <c r="A47" s="384"/>
      <c r="B47" s="416" t="s">
        <v>215</v>
      </c>
      <c r="C47" s="396" t="s">
        <v>799</v>
      </c>
      <c r="D47" s="400" t="s">
        <v>285</v>
      </c>
      <c r="E47" s="397">
        <v>0</v>
      </c>
      <c r="F47" s="397">
        <v>0</v>
      </c>
      <c r="G47" s="397">
        <v>0</v>
      </c>
      <c r="H47" s="399">
        <v>1</v>
      </c>
      <c r="I47" s="422">
        <v>100000000</v>
      </c>
      <c r="J47" s="434">
        <v>100000000</v>
      </c>
      <c r="K47" s="426">
        <v>0</v>
      </c>
      <c r="L47" s="422">
        <v>0</v>
      </c>
      <c r="M47" s="423" t="e">
        <v>#DIV/0!</v>
      </c>
      <c r="N47" s="423" t="e">
        <v>#DIV/0!</v>
      </c>
      <c r="O47" s="561">
        <v>0</v>
      </c>
      <c r="P47" s="548" t="e">
        <v>#DIV/0!</v>
      </c>
      <c r="Q47" s="548" t="e">
        <v>#DIV/0!</v>
      </c>
      <c r="R47" s="548" t="e">
        <v>#DIV/0!</v>
      </c>
      <c r="S47" s="274" t="e">
        <v>#DIV/0!</v>
      </c>
    </row>
    <row r="48" spans="1:19" ht="15">
      <c r="A48" s="384"/>
      <c r="B48" s="416" t="s">
        <v>215</v>
      </c>
      <c r="C48" s="396" t="s">
        <v>800</v>
      </c>
      <c r="D48" s="400" t="s">
        <v>237</v>
      </c>
      <c r="E48" s="397">
        <v>0</v>
      </c>
      <c r="F48" s="397">
        <v>0</v>
      </c>
      <c r="G48" s="397">
        <v>0</v>
      </c>
      <c r="H48" s="399">
        <v>500</v>
      </c>
      <c r="I48" s="422">
        <v>30000000</v>
      </c>
      <c r="J48" s="434">
        <v>60000</v>
      </c>
      <c r="K48" s="426">
        <v>0</v>
      </c>
      <c r="L48" s="422">
        <v>0</v>
      </c>
      <c r="M48" s="423" t="e">
        <v>#DIV/0!</v>
      </c>
      <c r="N48" s="423" t="e">
        <v>#DIV/0!</v>
      </c>
      <c r="O48" s="561">
        <v>0</v>
      </c>
      <c r="P48" s="548" t="e">
        <v>#DIV/0!</v>
      </c>
      <c r="Q48" s="548" t="e">
        <v>#DIV/0!</v>
      </c>
      <c r="R48" s="548" t="e">
        <v>#DIV/0!</v>
      </c>
      <c r="S48" s="274" t="e">
        <v>#DIV/0!</v>
      </c>
    </row>
    <row r="49" spans="1:22" ht="15">
      <c r="A49" s="384"/>
      <c r="B49" s="416" t="s">
        <v>215</v>
      </c>
      <c r="C49" s="396" t="s">
        <v>801</v>
      </c>
      <c r="D49" s="400" t="s">
        <v>287</v>
      </c>
      <c r="E49" s="397">
        <v>0</v>
      </c>
      <c r="F49" s="397">
        <v>0</v>
      </c>
      <c r="G49" s="397">
        <v>0</v>
      </c>
      <c r="H49" s="399">
        <v>2</v>
      </c>
      <c r="I49" s="422">
        <v>20000000</v>
      </c>
      <c r="J49" s="434">
        <v>10000000</v>
      </c>
      <c r="K49" s="426">
        <v>0</v>
      </c>
      <c r="L49" s="422">
        <v>0</v>
      </c>
      <c r="M49" s="423" t="e">
        <v>#DIV/0!</v>
      </c>
      <c r="N49" s="423" t="e">
        <v>#DIV/0!</v>
      </c>
      <c r="O49" s="561">
        <v>0</v>
      </c>
      <c r="P49" s="548" t="e">
        <v>#DIV/0!</v>
      </c>
      <c r="Q49" s="548" t="e">
        <v>#DIV/0!</v>
      </c>
      <c r="R49" s="548" t="e">
        <v>#DIV/0!</v>
      </c>
      <c r="S49" s="274" t="e">
        <v>#DIV/0!</v>
      </c>
      <c r="T49" s="383"/>
      <c r="U49" s="383"/>
      <c r="V49" s="383"/>
    </row>
    <row r="50" spans="1:22" ht="22.5">
      <c r="A50" s="384"/>
      <c r="B50" s="416" t="s">
        <v>215</v>
      </c>
      <c r="C50" s="396" t="s">
        <v>802</v>
      </c>
      <c r="D50" s="400" t="s">
        <v>287</v>
      </c>
      <c r="E50" s="397">
        <v>0</v>
      </c>
      <c r="F50" s="397">
        <v>0</v>
      </c>
      <c r="G50" s="397">
        <v>0</v>
      </c>
      <c r="H50" s="399">
        <v>1</v>
      </c>
      <c r="I50" s="422">
        <v>380182000</v>
      </c>
      <c r="J50" s="434">
        <v>380182000</v>
      </c>
      <c r="K50" s="426">
        <v>0</v>
      </c>
      <c r="L50" s="422">
        <v>0</v>
      </c>
      <c r="M50" s="423" t="e">
        <v>#DIV/0!</v>
      </c>
      <c r="N50" s="423" t="e">
        <v>#DIV/0!</v>
      </c>
      <c r="O50" s="561">
        <v>0</v>
      </c>
      <c r="P50" s="548" t="e">
        <v>#DIV/0!</v>
      </c>
      <c r="Q50" s="548" t="e">
        <v>#DIV/0!</v>
      </c>
      <c r="R50" s="548" t="e">
        <v>#DIV/0!</v>
      </c>
      <c r="S50" s="274" t="e">
        <v>#DIV/0!</v>
      </c>
      <c r="T50" s="383"/>
      <c r="U50" s="383"/>
      <c r="V50" s="383"/>
    </row>
    <row r="51" spans="1:22" ht="15">
      <c r="A51" s="384"/>
      <c r="B51" s="416" t="s">
        <v>263</v>
      </c>
      <c r="C51" s="396" t="s">
        <v>803</v>
      </c>
      <c r="D51" s="400" t="s">
        <v>244</v>
      </c>
      <c r="E51" s="397">
        <v>0</v>
      </c>
      <c r="F51" s="397">
        <v>0</v>
      </c>
      <c r="G51" s="397">
        <v>0</v>
      </c>
      <c r="H51" s="399">
        <v>1</v>
      </c>
      <c r="I51" s="422">
        <v>261120000</v>
      </c>
      <c r="J51" s="434">
        <v>261120000</v>
      </c>
      <c r="K51" s="426">
        <v>0</v>
      </c>
      <c r="L51" s="422">
        <v>0</v>
      </c>
      <c r="M51" s="423" t="e">
        <v>#DIV/0!</v>
      </c>
      <c r="N51" s="423" t="e">
        <v>#DIV/0!</v>
      </c>
      <c r="O51" s="561">
        <v>0</v>
      </c>
      <c r="P51" s="548" t="e">
        <v>#DIV/0!</v>
      </c>
      <c r="Q51" s="548" t="e">
        <v>#DIV/0!</v>
      </c>
      <c r="R51" s="548" t="e">
        <v>#DIV/0!</v>
      </c>
      <c r="S51" s="274" t="e">
        <v>#DIV/0!</v>
      </c>
      <c r="T51" s="383"/>
      <c r="U51" s="383"/>
      <c r="V51" s="383"/>
    </row>
    <row r="52" spans="1:22" ht="22.5">
      <c r="A52" s="384"/>
      <c r="B52" s="416" t="s">
        <v>236</v>
      </c>
      <c r="C52" s="396" t="s">
        <v>354</v>
      </c>
      <c r="D52" s="400" t="s">
        <v>237</v>
      </c>
      <c r="E52" s="397">
        <v>396</v>
      </c>
      <c r="F52" s="405">
        <v>199999999.78</v>
      </c>
      <c r="G52" s="397">
        <v>505051</v>
      </c>
      <c r="H52" s="399">
        <v>431</v>
      </c>
      <c r="I52" s="422">
        <v>86193000</v>
      </c>
      <c r="J52" s="423">
        <v>199983.75870069605</v>
      </c>
      <c r="K52" s="426">
        <v>711</v>
      </c>
      <c r="L52" s="422">
        <v>142228750</v>
      </c>
      <c r="M52" s="423">
        <v>200040.43600562587</v>
      </c>
      <c r="N52" s="423">
        <v>654.54018004798604</v>
      </c>
      <c r="O52" s="561">
        <v>130934503</v>
      </c>
      <c r="P52" s="548">
        <v>200040.4360056259</v>
      </c>
      <c r="Q52" s="548">
        <v>-305010.56399437413</v>
      </c>
      <c r="R52" s="548">
        <v>56.677304929849925</v>
      </c>
      <c r="S52" s="274">
        <v>0</v>
      </c>
      <c r="T52" s="383"/>
      <c r="U52" s="383"/>
      <c r="V52" s="383"/>
    </row>
    <row r="53" spans="1:22" ht="22.5">
      <c r="A53" s="384"/>
      <c r="B53" s="416" t="s">
        <v>274</v>
      </c>
      <c r="C53" s="396" t="s">
        <v>379</v>
      </c>
      <c r="D53" s="400" t="s">
        <v>275</v>
      </c>
      <c r="E53" s="397">
        <v>2</v>
      </c>
      <c r="F53" s="405">
        <v>2961971096.8000002</v>
      </c>
      <c r="G53" s="397">
        <v>1480985548</v>
      </c>
      <c r="H53" s="399">
        <v>7</v>
      </c>
      <c r="I53" s="422">
        <v>4932668000</v>
      </c>
      <c r="J53" s="423">
        <v>704666857.14285719</v>
      </c>
      <c r="K53" s="426">
        <v>6</v>
      </c>
      <c r="L53" s="422">
        <v>4201139330</v>
      </c>
      <c r="M53" s="423">
        <v>700189888.33333337</v>
      </c>
      <c r="N53" s="423">
        <v>5</v>
      </c>
      <c r="O53" s="561">
        <v>3986947598</v>
      </c>
      <c r="P53" s="548">
        <v>797389519.60000002</v>
      </c>
      <c r="Q53" s="548">
        <v>-683596028.39999998</v>
      </c>
      <c r="R53" s="548">
        <v>92722662.45714283</v>
      </c>
      <c r="S53" s="274">
        <v>97199631.266666651</v>
      </c>
      <c r="T53" s="383"/>
      <c r="U53" s="383"/>
      <c r="V53" s="383"/>
    </row>
    <row r="54" spans="1:22" ht="22.5">
      <c r="A54" s="384"/>
      <c r="B54" s="416" t="s">
        <v>311</v>
      </c>
      <c r="C54" s="396" t="s">
        <v>356</v>
      </c>
      <c r="D54" s="400" t="s">
        <v>241</v>
      </c>
      <c r="E54" s="397">
        <v>0</v>
      </c>
      <c r="F54" s="405">
        <v>598289276.13999999</v>
      </c>
      <c r="G54" s="397">
        <v>0</v>
      </c>
      <c r="H54" s="399">
        <v>2</v>
      </c>
      <c r="I54" s="422">
        <v>515128000</v>
      </c>
      <c r="J54" s="423">
        <v>257564000</v>
      </c>
      <c r="K54" s="426"/>
      <c r="L54" s="422"/>
      <c r="M54" s="423" t="e">
        <v>#DIV/0!</v>
      </c>
      <c r="N54" s="423" t="e">
        <v>#DIV/0!</v>
      </c>
      <c r="O54" s="561">
        <v>0</v>
      </c>
      <c r="P54" s="548" t="e">
        <v>#DIV/0!</v>
      </c>
      <c r="Q54" s="548" t="e">
        <v>#DIV/0!</v>
      </c>
      <c r="R54" s="548" t="e">
        <v>#DIV/0!</v>
      </c>
      <c r="S54" s="274" t="e">
        <v>#DIV/0!</v>
      </c>
      <c r="T54" s="383"/>
      <c r="U54" s="383"/>
      <c r="V54" s="383"/>
    </row>
    <row r="55" spans="1:22" ht="22.5">
      <c r="A55" s="384"/>
      <c r="B55" s="416" t="s">
        <v>380</v>
      </c>
      <c r="C55" s="396" t="s">
        <v>381</v>
      </c>
      <c r="D55" s="396" t="s">
        <v>382</v>
      </c>
      <c r="E55" s="397">
        <v>0</v>
      </c>
      <c r="F55" s="405">
        <v>1914759568.1500001</v>
      </c>
      <c r="G55" s="397">
        <v>0</v>
      </c>
      <c r="H55" s="399">
        <v>0</v>
      </c>
      <c r="I55" s="422">
        <v>0</v>
      </c>
      <c r="J55" s="423">
        <v>0</v>
      </c>
      <c r="K55" s="426">
        <v>0</v>
      </c>
      <c r="L55" s="422">
        <v>0</v>
      </c>
      <c r="M55" s="423" t="e">
        <v>#DIV/0!</v>
      </c>
      <c r="N55" s="423" t="e">
        <v>#DIV/0!</v>
      </c>
      <c r="O55" s="561">
        <v>0</v>
      </c>
      <c r="P55" s="548" t="e">
        <v>#DIV/0!</v>
      </c>
      <c r="Q55" s="548" t="e">
        <v>#DIV/0!</v>
      </c>
      <c r="R55" s="548" t="e">
        <v>#DIV/0!</v>
      </c>
      <c r="S55" s="274" t="e">
        <v>#DIV/0!</v>
      </c>
      <c r="T55" s="383"/>
      <c r="U55" s="383"/>
      <c r="V55" s="383"/>
    </row>
    <row r="56" spans="1:22" ht="15">
      <c r="A56" s="384"/>
      <c r="B56" s="416" t="s">
        <v>256</v>
      </c>
      <c r="C56" s="396" t="s">
        <v>383</v>
      </c>
      <c r="D56" s="396" t="s">
        <v>382</v>
      </c>
      <c r="E56" s="397">
        <v>0</v>
      </c>
      <c r="F56" s="397">
        <v>0</v>
      </c>
      <c r="G56" s="397">
        <v>0</v>
      </c>
      <c r="H56" s="399">
        <v>0</v>
      </c>
      <c r="I56" s="422">
        <v>0</v>
      </c>
      <c r="J56" s="423">
        <v>0</v>
      </c>
      <c r="K56" s="426">
        <v>1</v>
      </c>
      <c r="L56" s="422">
        <v>640000000</v>
      </c>
      <c r="M56" s="423">
        <v>640000000</v>
      </c>
      <c r="N56" s="423">
        <v>0.97596300000000002</v>
      </c>
      <c r="O56" s="561">
        <v>624616320</v>
      </c>
      <c r="P56" s="548">
        <v>640000000</v>
      </c>
      <c r="Q56" s="548">
        <v>640000000</v>
      </c>
      <c r="R56" s="548">
        <v>640000000</v>
      </c>
      <c r="S56" s="274">
        <v>0</v>
      </c>
      <c r="T56" s="383"/>
      <c r="U56" s="383"/>
      <c r="V56" s="383"/>
    </row>
    <row r="57" spans="1:22" ht="15">
      <c r="A57" s="384"/>
      <c r="B57" s="416" t="s">
        <v>257</v>
      </c>
      <c r="C57" s="396" t="s">
        <v>384</v>
      </c>
      <c r="D57" s="400" t="s">
        <v>241</v>
      </c>
      <c r="E57" s="397">
        <v>0</v>
      </c>
      <c r="F57" s="397">
        <v>0</v>
      </c>
      <c r="G57" s="397">
        <v>0</v>
      </c>
      <c r="H57" s="399">
        <v>0</v>
      </c>
      <c r="I57" s="422">
        <v>0</v>
      </c>
      <c r="J57" s="423">
        <v>0</v>
      </c>
      <c r="K57" s="426">
        <v>1</v>
      </c>
      <c r="L57" s="422">
        <v>901600000</v>
      </c>
      <c r="M57" s="423">
        <v>901600000</v>
      </c>
      <c r="N57" s="423">
        <v>1</v>
      </c>
      <c r="O57" s="561">
        <v>901600000</v>
      </c>
      <c r="P57" s="548">
        <v>901600000</v>
      </c>
      <c r="Q57" s="548">
        <v>901600000</v>
      </c>
      <c r="R57" s="548">
        <v>901600000</v>
      </c>
      <c r="S57" s="274">
        <v>0</v>
      </c>
      <c r="T57" s="383"/>
      <c r="U57" s="383"/>
      <c r="V57" s="383"/>
    </row>
    <row r="58" spans="1:22" ht="22.5">
      <c r="A58" s="384"/>
      <c r="B58" s="416" t="s">
        <v>259</v>
      </c>
      <c r="C58" s="396" t="s">
        <v>358</v>
      </c>
      <c r="D58" s="400" t="s">
        <v>241</v>
      </c>
      <c r="E58" s="397">
        <v>0</v>
      </c>
      <c r="F58" s="397">
        <v>0</v>
      </c>
      <c r="G58" s="397">
        <v>0</v>
      </c>
      <c r="H58" s="399">
        <v>0</v>
      </c>
      <c r="I58" s="422">
        <v>0</v>
      </c>
      <c r="J58" s="423">
        <v>0</v>
      </c>
      <c r="K58" s="426"/>
      <c r="L58" s="422"/>
      <c r="M58" s="423" t="e">
        <v>#DIV/0!</v>
      </c>
      <c r="N58" s="423" t="e">
        <v>#DIV/0!</v>
      </c>
      <c r="O58" s="561">
        <v>0</v>
      </c>
      <c r="P58" s="548" t="e">
        <v>#DIV/0!</v>
      </c>
      <c r="Q58" s="548" t="e">
        <v>#DIV/0!</v>
      </c>
      <c r="R58" s="548" t="e">
        <v>#DIV/0!</v>
      </c>
      <c r="S58" s="274" t="e">
        <v>#DIV/0!</v>
      </c>
      <c r="T58" s="383"/>
      <c r="U58" s="383"/>
      <c r="V58" s="383"/>
    </row>
    <row r="59" spans="1:22" ht="33.75">
      <c r="A59" s="384"/>
      <c r="B59" s="416" t="s">
        <v>260</v>
      </c>
      <c r="C59" s="396" t="s">
        <v>385</v>
      </c>
      <c r="D59" s="400" t="s">
        <v>261</v>
      </c>
      <c r="E59" s="397">
        <v>0</v>
      </c>
      <c r="F59" s="397">
        <v>0</v>
      </c>
      <c r="G59" s="397">
        <v>0</v>
      </c>
      <c r="H59" s="399">
        <v>740</v>
      </c>
      <c r="I59" s="422">
        <v>40000000</v>
      </c>
      <c r="J59" s="423">
        <v>0</v>
      </c>
      <c r="K59" s="426">
        <v>740</v>
      </c>
      <c r="L59" s="422">
        <v>37000000</v>
      </c>
      <c r="M59" s="423">
        <v>50000</v>
      </c>
      <c r="N59" s="423">
        <v>735</v>
      </c>
      <c r="O59" s="561">
        <v>36756984</v>
      </c>
      <c r="P59" s="548">
        <v>50009.502040816325</v>
      </c>
      <c r="Q59" s="548">
        <v>50009.502040816325</v>
      </c>
      <c r="R59" s="548">
        <v>50009.502040816325</v>
      </c>
      <c r="S59" s="274">
        <v>9.5020408163254615</v>
      </c>
      <c r="T59" s="383"/>
      <c r="U59" s="383"/>
      <c r="V59" s="383"/>
    </row>
    <row r="60" spans="1:22" ht="22.5">
      <c r="A60" s="384"/>
      <c r="B60" s="416" t="s">
        <v>262</v>
      </c>
      <c r="C60" s="396" t="s">
        <v>360</v>
      </c>
      <c r="D60" s="400" t="s">
        <v>241</v>
      </c>
      <c r="E60" s="397">
        <v>0</v>
      </c>
      <c r="F60" s="397">
        <v>0</v>
      </c>
      <c r="G60" s="397">
        <v>0</v>
      </c>
      <c r="H60" s="399">
        <v>1</v>
      </c>
      <c r="I60" s="422">
        <v>20000000</v>
      </c>
      <c r="J60" s="434">
        <v>20000000</v>
      </c>
      <c r="K60" s="426">
        <v>0</v>
      </c>
      <c r="L60" s="422">
        <v>0</v>
      </c>
      <c r="M60" s="423" t="e">
        <v>#DIV/0!</v>
      </c>
      <c r="N60" s="423" t="e">
        <v>#DIV/0!</v>
      </c>
      <c r="O60" s="561">
        <v>0</v>
      </c>
      <c r="P60" s="548" t="e">
        <v>#DIV/0!</v>
      </c>
      <c r="Q60" s="548" t="e">
        <v>#DIV/0!</v>
      </c>
      <c r="R60" s="548" t="e">
        <v>#DIV/0!</v>
      </c>
      <c r="S60" s="274" t="e">
        <v>#DIV/0!</v>
      </c>
      <c r="T60" s="383"/>
      <c r="U60" s="383"/>
      <c r="V60" s="383"/>
    </row>
    <row r="61" spans="1:22" ht="15">
      <c r="A61" s="384"/>
      <c r="B61" s="416" t="s">
        <v>266</v>
      </c>
      <c r="C61" s="419" t="s">
        <v>267</v>
      </c>
      <c r="D61" s="400" t="s">
        <v>386</v>
      </c>
      <c r="E61" s="397"/>
      <c r="F61" s="397"/>
      <c r="G61" s="397"/>
      <c r="H61" s="399"/>
      <c r="I61" s="422"/>
      <c r="J61" s="423"/>
      <c r="K61" s="426">
        <v>1</v>
      </c>
      <c r="L61" s="422">
        <v>608190000</v>
      </c>
      <c r="M61" s="423">
        <v>608190000</v>
      </c>
      <c r="N61" s="423">
        <v>1</v>
      </c>
      <c r="O61" s="561">
        <v>608190000</v>
      </c>
      <c r="P61" s="548">
        <v>608190000</v>
      </c>
      <c r="Q61" s="548">
        <v>608190000</v>
      </c>
      <c r="R61" s="548">
        <v>608190000</v>
      </c>
      <c r="S61" s="274">
        <v>0</v>
      </c>
      <c r="T61" s="383"/>
      <c r="U61" s="383"/>
      <c r="V61" s="383"/>
    </row>
    <row r="62" spans="1:22" ht="15">
      <c r="A62" s="384"/>
      <c r="B62" s="416" t="s">
        <v>288</v>
      </c>
      <c r="C62" s="396" t="s">
        <v>289</v>
      </c>
      <c r="D62" s="400" t="s">
        <v>241</v>
      </c>
      <c r="E62" s="397">
        <v>1</v>
      </c>
      <c r="F62" s="397">
        <v>7684135</v>
      </c>
      <c r="G62" s="397">
        <v>0</v>
      </c>
      <c r="H62" s="399">
        <v>0</v>
      </c>
      <c r="I62" s="422">
        <v>0</v>
      </c>
      <c r="J62" s="423">
        <v>0</v>
      </c>
      <c r="K62" s="426">
        <v>1</v>
      </c>
      <c r="L62" s="422">
        <v>16000000</v>
      </c>
      <c r="M62" s="423">
        <v>16000000</v>
      </c>
      <c r="N62" s="423">
        <v>1</v>
      </c>
      <c r="O62" s="561">
        <v>3184109</v>
      </c>
      <c r="P62" s="548">
        <v>3184109</v>
      </c>
      <c r="Q62" s="548">
        <v>3184109</v>
      </c>
      <c r="R62" s="548">
        <v>3184109</v>
      </c>
      <c r="S62" s="274">
        <v>-12815891</v>
      </c>
      <c r="T62" s="383"/>
      <c r="U62" s="383"/>
      <c r="V62" s="383"/>
    </row>
    <row r="63" spans="1:22" ht="15">
      <c r="A63" s="384"/>
      <c r="B63" s="416" t="s">
        <v>175</v>
      </c>
      <c r="C63" s="404" t="s">
        <v>68</v>
      </c>
      <c r="D63" s="400"/>
      <c r="E63" s="397"/>
      <c r="F63" s="402">
        <v>14549236992.52</v>
      </c>
      <c r="G63" s="402"/>
      <c r="H63" s="403"/>
      <c r="I63" s="428">
        <v>18653758000</v>
      </c>
      <c r="J63" s="428"/>
      <c r="K63" s="428"/>
      <c r="L63" s="428">
        <v>18074254823</v>
      </c>
      <c r="M63" s="428"/>
      <c r="N63" s="428"/>
      <c r="O63" s="562">
        <v>17381334541</v>
      </c>
      <c r="P63" s="548"/>
      <c r="Q63" s="549"/>
      <c r="R63" s="549"/>
      <c r="S63" s="550"/>
      <c r="T63" s="383"/>
      <c r="U63" s="383"/>
      <c r="V63" s="420"/>
    </row>
    <row r="64" spans="1:22" ht="15">
      <c r="A64" s="384"/>
      <c r="B64" s="1322" t="s">
        <v>176</v>
      </c>
      <c r="C64" s="1323"/>
      <c r="D64" s="406"/>
      <c r="E64" s="407"/>
      <c r="F64" s="408">
        <v>3574560</v>
      </c>
      <c r="G64" s="407"/>
      <c r="H64" s="406"/>
      <c r="I64" s="429"/>
      <c r="J64" s="430"/>
      <c r="K64" s="431"/>
      <c r="L64" s="429"/>
      <c r="M64" s="430"/>
      <c r="N64" s="431"/>
      <c r="O64" s="563"/>
      <c r="P64" s="551"/>
      <c r="Q64" s="552">
        <v>0</v>
      </c>
      <c r="R64" s="552">
        <v>0</v>
      </c>
      <c r="S64" s="553">
        <v>0</v>
      </c>
      <c r="T64" s="383"/>
      <c r="U64" s="383"/>
      <c r="V64" s="383"/>
    </row>
    <row r="65" spans="1:19" ht="21">
      <c r="A65" s="384"/>
      <c r="B65" s="417" t="s">
        <v>387</v>
      </c>
      <c r="C65" s="411" t="s">
        <v>364</v>
      </c>
      <c r="D65" s="409"/>
      <c r="E65" s="409"/>
      <c r="F65" s="410">
        <v>3574560</v>
      </c>
      <c r="G65" s="409"/>
      <c r="H65" s="409"/>
      <c r="I65" s="432"/>
      <c r="J65" s="432"/>
      <c r="K65" s="432"/>
      <c r="L65" s="432"/>
      <c r="M65" s="432"/>
      <c r="N65" s="432"/>
      <c r="O65" s="564"/>
      <c r="P65" s="554"/>
      <c r="Q65" s="552">
        <v>0</v>
      </c>
      <c r="R65" s="552">
        <v>0</v>
      </c>
      <c r="S65" s="553">
        <v>0</v>
      </c>
    </row>
    <row r="66" spans="1:19" ht="15.75" thickBot="1">
      <c r="A66" s="384"/>
      <c r="B66" s="1324" t="s">
        <v>388</v>
      </c>
      <c r="C66" s="1325"/>
      <c r="D66" s="418"/>
      <c r="E66" s="418"/>
      <c r="F66" s="421">
        <v>14552811552.52</v>
      </c>
      <c r="G66" s="421">
        <v>0</v>
      </c>
      <c r="H66" s="421">
        <v>0</v>
      </c>
      <c r="I66" s="433">
        <v>18653758000</v>
      </c>
      <c r="J66" s="433">
        <v>0</v>
      </c>
      <c r="K66" s="433">
        <v>0</v>
      </c>
      <c r="L66" s="433">
        <v>18074254823</v>
      </c>
      <c r="M66" s="433">
        <v>0</v>
      </c>
      <c r="N66" s="433">
        <v>0</v>
      </c>
      <c r="O66" s="565">
        <v>17381334541</v>
      </c>
      <c r="P66" s="555">
        <v>0</v>
      </c>
      <c r="Q66" s="555">
        <v>0</v>
      </c>
      <c r="R66" s="555">
        <v>0</v>
      </c>
      <c r="S66" s="556">
        <v>0</v>
      </c>
    </row>
  </sheetData>
  <mergeCells count="18">
    <mergeCell ref="N7:P7"/>
    <mergeCell ref="Q7:S7"/>
    <mergeCell ref="B10:C10"/>
    <mergeCell ref="B64:C64"/>
    <mergeCell ref="B66:C66"/>
    <mergeCell ref="B2:S2"/>
    <mergeCell ref="B3:S3"/>
    <mergeCell ref="B4:S4"/>
    <mergeCell ref="C5:E5"/>
    <mergeCell ref="G5:S5"/>
    <mergeCell ref="C6:E6"/>
    <mergeCell ref="G6:S6"/>
    <mergeCell ref="B7:B8"/>
    <mergeCell ref="C7:C8"/>
    <mergeCell ref="D7:D8"/>
    <mergeCell ref="E7:G7"/>
    <mergeCell ref="H7:J7"/>
    <mergeCell ref="K7:M7"/>
  </mergeCells>
  <pageMargins left="0.26" right="0.24" top="0.22" bottom="0.23" header="0.2" footer="0.25"/>
  <pageSetup scale="62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87"/>
  <sheetViews>
    <sheetView topLeftCell="B16" workbookViewId="0">
      <selection activeCell="B67" sqref="A1:XFD1048576"/>
    </sheetView>
  </sheetViews>
  <sheetFormatPr defaultRowHeight="11.25"/>
  <cols>
    <col min="1" max="1" width="1" style="38" hidden="1" customWidth="1"/>
    <col min="2" max="2" width="40.42578125" style="38" customWidth="1"/>
    <col min="3" max="3" width="11.140625" style="38" customWidth="1"/>
    <col min="4" max="4" width="7.28515625" style="38" customWidth="1"/>
    <col min="5" max="5" width="11.5703125" style="38" customWidth="1"/>
    <col min="6" max="6" width="9" style="38" customWidth="1"/>
    <col min="7" max="7" width="7.5703125" style="38" customWidth="1"/>
    <col min="8" max="8" width="12.85546875" style="38" customWidth="1"/>
    <col min="9" max="9" width="12.42578125" style="38" customWidth="1"/>
    <col min="10" max="10" width="6.85546875" style="38" customWidth="1"/>
    <col min="11" max="11" width="12.7109375" style="38" bestFit="1" customWidth="1"/>
    <col min="12" max="12" width="14" style="38" bestFit="1" customWidth="1"/>
    <col min="13" max="13" width="8" style="38" customWidth="1"/>
    <col min="14" max="14" width="12.7109375" style="38" bestFit="1" customWidth="1"/>
    <col min="15" max="15" width="10.5703125" style="38" customWidth="1"/>
    <col min="16" max="16" width="9.5703125" style="38" customWidth="1"/>
    <col min="17" max="17" width="12.28515625" style="38" customWidth="1"/>
    <col min="18" max="18" width="11.140625" style="38" customWidth="1"/>
    <col min="19" max="16384" width="9.140625" style="38"/>
  </cols>
  <sheetData>
    <row r="1" spans="1:18">
      <c r="A1" s="870"/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</row>
    <row r="2" spans="1:18">
      <c r="A2" s="1341" t="s">
        <v>146</v>
      </c>
      <c r="B2" s="1341"/>
      <c r="C2" s="1341"/>
      <c r="D2" s="1341"/>
      <c r="E2" s="1341"/>
      <c r="F2" s="1341"/>
      <c r="G2" s="1341"/>
      <c r="H2" s="1341"/>
      <c r="I2" s="1341"/>
      <c r="J2" s="1341"/>
      <c r="K2" s="1341"/>
      <c r="L2" s="1341"/>
      <c r="M2" s="1341"/>
      <c r="N2" s="1341"/>
      <c r="O2" s="1341"/>
      <c r="P2" s="1341"/>
      <c r="Q2" s="1341"/>
      <c r="R2" s="1341"/>
    </row>
    <row r="3" spans="1:18">
      <c r="A3" s="1342" t="s">
        <v>198</v>
      </c>
      <c r="B3" s="1342"/>
      <c r="C3" s="1342"/>
      <c r="D3" s="1342"/>
      <c r="E3" s="1342"/>
      <c r="F3" s="1342"/>
      <c r="G3" s="1342"/>
      <c r="H3" s="1342"/>
      <c r="I3" s="1342"/>
      <c r="J3" s="1342"/>
      <c r="K3" s="1342"/>
      <c r="L3" s="1342"/>
      <c r="M3" s="1342"/>
      <c r="N3" s="1342"/>
      <c r="O3" s="1342"/>
      <c r="P3" s="1342"/>
      <c r="Q3" s="1342"/>
      <c r="R3" s="1342"/>
    </row>
    <row r="4" spans="1:18" ht="12" thickBot="1">
      <c r="A4" s="1343" t="s">
        <v>1</v>
      </c>
      <c r="B4" s="1343"/>
      <c r="C4" s="1343"/>
      <c r="D4" s="1343"/>
      <c r="E4" s="1343"/>
      <c r="F4" s="1343"/>
      <c r="G4" s="1343"/>
      <c r="H4" s="1343"/>
      <c r="I4" s="1343"/>
      <c r="J4" s="1343"/>
      <c r="K4" s="1343"/>
      <c r="L4" s="1343"/>
      <c r="M4" s="1343"/>
      <c r="N4" s="1343"/>
      <c r="O4" s="1343"/>
      <c r="P4" s="1343"/>
      <c r="Q4" s="1343"/>
      <c r="R4" s="1343"/>
    </row>
    <row r="5" spans="1:18" ht="36.75" customHeight="1" thickTop="1">
      <c r="A5" s="871" t="s">
        <v>113</v>
      </c>
      <c r="B5" s="1344" t="s">
        <v>197</v>
      </c>
      <c r="C5" s="1344"/>
      <c r="D5" s="1344"/>
      <c r="E5" s="872" t="s">
        <v>3</v>
      </c>
      <c r="F5" s="1345" t="s">
        <v>221</v>
      </c>
      <c r="G5" s="1345"/>
      <c r="H5" s="1345"/>
      <c r="I5" s="1345"/>
      <c r="J5" s="1345"/>
      <c r="K5" s="1345"/>
      <c r="L5" s="1345"/>
      <c r="M5" s="1345"/>
      <c r="N5" s="1345"/>
      <c r="O5" s="1345"/>
      <c r="P5" s="1345"/>
      <c r="Q5" s="1345"/>
      <c r="R5" s="1345"/>
    </row>
    <row r="6" spans="1:18" ht="33" customHeight="1">
      <c r="A6" s="873" t="s">
        <v>114</v>
      </c>
      <c r="B6" s="1347" t="s">
        <v>187</v>
      </c>
      <c r="C6" s="1347"/>
      <c r="D6" s="1347"/>
      <c r="E6" s="874" t="s">
        <v>115</v>
      </c>
      <c r="F6" s="1350" t="s">
        <v>186</v>
      </c>
      <c r="G6" s="1350"/>
      <c r="H6" s="1350"/>
      <c r="I6" s="1350"/>
      <c r="J6" s="1350"/>
      <c r="K6" s="1350"/>
      <c r="L6" s="1350"/>
      <c r="M6" s="1350"/>
      <c r="N6" s="1350"/>
      <c r="O6" s="1350"/>
      <c r="P6" s="1350"/>
      <c r="Q6" s="1350"/>
      <c r="R6" s="1350"/>
    </row>
    <row r="7" spans="1:18" ht="15" customHeight="1">
      <c r="A7" s="1351" t="s">
        <v>147</v>
      </c>
      <c r="B7" s="1352" t="s">
        <v>148</v>
      </c>
      <c r="C7" s="1353" t="s">
        <v>149</v>
      </c>
      <c r="D7" s="1354" t="s">
        <v>117</v>
      </c>
      <c r="E7" s="1354"/>
      <c r="F7" s="1354"/>
      <c r="G7" s="1354" t="s">
        <v>150</v>
      </c>
      <c r="H7" s="1354"/>
      <c r="I7" s="1354"/>
      <c r="J7" s="1355" t="s">
        <v>150</v>
      </c>
      <c r="K7" s="1355"/>
      <c r="L7" s="1355"/>
      <c r="M7" s="1355" t="s">
        <v>150</v>
      </c>
      <c r="N7" s="1355"/>
      <c r="O7" s="1355"/>
      <c r="P7" s="1356" t="s">
        <v>151</v>
      </c>
      <c r="Q7" s="1356"/>
      <c r="R7" s="1356"/>
    </row>
    <row r="8" spans="1:18" ht="83.25" customHeight="1">
      <c r="A8" s="1351"/>
      <c r="B8" s="1352"/>
      <c r="C8" s="1353"/>
      <c r="D8" s="875" t="s">
        <v>152</v>
      </c>
      <c r="E8" s="876" t="s">
        <v>153</v>
      </c>
      <c r="F8" s="877" t="s">
        <v>154</v>
      </c>
      <c r="G8" s="878" t="s">
        <v>155</v>
      </c>
      <c r="H8" s="879" t="s">
        <v>156</v>
      </c>
      <c r="I8" s="880" t="s">
        <v>157</v>
      </c>
      <c r="J8" s="881" t="s">
        <v>158</v>
      </c>
      <c r="K8" s="879" t="s">
        <v>159</v>
      </c>
      <c r="L8" s="880" t="s">
        <v>160</v>
      </c>
      <c r="M8" s="881" t="s">
        <v>161</v>
      </c>
      <c r="N8" s="879" t="s">
        <v>162</v>
      </c>
      <c r="O8" s="880" t="s">
        <v>163</v>
      </c>
      <c r="P8" s="878" t="s">
        <v>164</v>
      </c>
      <c r="Q8" s="876" t="s">
        <v>165</v>
      </c>
      <c r="R8" s="882" t="s">
        <v>166</v>
      </c>
    </row>
    <row r="9" spans="1:18" ht="12" thickBot="1">
      <c r="A9" s="883"/>
      <c r="B9" s="884"/>
      <c r="C9" s="884"/>
      <c r="D9" s="885" t="s">
        <v>13</v>
      </c>
      <c r="E9" s="885" t="s">
        <v>14</v>
      </c>
      <c r="F9" s="885" t="s">
        <v>15</v>
      </c>
      <c r="G9" s="885" t="s">
        <v>16</v>
      </c>
      <c r="H9" s="886" t="s">
        <v>17</v>
      </c>
      <c r="I9" s="886" t="s">
        <v>18</v>
      </c>
      <c r="J9" s="886" t="s">
        <v>167</v>
      </c>
      <c r="K9" s="886" t="s">
        <v>20</v>
      </c>
      <c r="L9" s="886" t="s">
        <v>21</v>
      </c>
      <c r="M9" s="886" t="s">
        <v>168</v>
      </c>
      <c r="N9" s="886" t="s">
        <v>169</v>
      </c>
      <c r="O9" s="886" t="s">
        <v>170</v>
      </c>
      <c r="P9" s="885" t="s">
        <v>171</v>
      </c>
      <c r="Q9" s="885" t="s">
        <v>172</v>
      </c>
      <c r="R9" s="887" t="s">
        <v>173</v>
      </c>
    </row>
    <row r="10" spans="1:18" ht="27" customHeight="1" thickTop="1">
      <c r="A10" s="1346" t="s">
        <v>174</v>
      </c>
      <c r="B10" s="1346"/>
      <c r="C10" s="888"/>
      <c r="D10" s="889"/>
      <c r="E10" s="889"/>
      <c r="F10" s="889"/>
      <c r="G10" s="889"/>
      <c r="H10" s="890"/>
      <c r="I10" s="890"/>
      <c r="J10" s="890"/>
      <c r="K10" s="890"/>
      <c r="L10" s="890"/>
      <c r="M10" s="890"/>
      <c r="N10" s="890"/>
      <c r="O10" s="890"/>
      <c r="P10" s="889"/>
      <c r="Q10" s="889"/>
      <c r="R10" s="889"/>
    </row>
    <row r="11" spans="1:18" ht="34.5" customHeight="1">
      <c r="A11" s="891" t="s">
        <v>574</v>
      </c>
      <c r="B11" s="892" t="s">
        <v>747</v>
      </c>
      <c r="C11" s="893" t="s">
        <v>748</v>
      </c>
      <c r="D11" s="894">
        <v>1159</v>
      </c>
      <c r="E11" s="894">
        <v>2858816129</v>
      </c>
      <c r="F11" s="894">
        <v>2466623</v>
      </c>
      <c r="G11" s="895">
        <v>1438</v>
      </c>
      <c r="H11" s="896">
        <v>3329786000</v>
      </c>
      <c r="I11" s="897">
        <v>2315567.454798331</v>
      </c>
      <c r="J11" s="898">
        <v>1438</v>
      </c>
      <c r="K11" s="896">
        <v>3969979923</v>
      </c>
      <c r="L11" s="897">
        <v>2760764.897774687</v>
      </c>
      <c r="M11" s="898">
        <v>1242</v>
      </c>
      <c r="N11" s="896">
        <v>3945433323</v>
      </c>
      <c r="O11" s="897">
        <v>3176677.3937198068</v>
      </c>
      <c r="P11" s="899">
        <f>O11-F11</f>
        <v>710054.3937198068</v>
      </c>
      <c r="Q11" s="899">
        <f>O11-I11</f>
        <v>861109.93892147578</v>
      </c>
      <c r="R11" s="899">
        <f>O11-L11</f>
        <v>415912.49594511976</v>
      </c>
    </row>
    <row r="12" spans="1:18">
      <c r="A12" s="891" t="s">
        <v>576</v>
      </c>
      <c r="B12" s="892" t="s">
        <v>577</v>
      </c>
      <c r="C12" s="893" t="s">
        <v>292</v>
      </c>
      <c r="D12" s="894">
        <v>70</v>
      </c>
      <c r="E12" s="894">
        <v>191223999</v>
      </c>
      <c r="F12" s="894">
        <v>2731771</v>
      </c>
      <c r="G12" s="895">
        <v>145</v>
      </c>
      <c r="H12" s="896">
        <v>210900000</v>
      </c>
      <c r="I12" s="897">
        <v>1454482.7586206896</v>
      </c>
      <c r="J12" s="898">
        <v>145</v>
      </c>
      <c r="K12" s="896">
        <v>221896290</v>
      </c>
      <c r="L12" s="897">
        <v>1530319.2413793104</v>
      </c>
      <c r="M12" s="898">
        <v>145</v>
      </c>
      <c r="N12" s="896">
        <v>218620259</v>
      </c>
      <c r="O12" s="897">
        <v>1507725.9241379311</v>
      </c>
      <c r="P12" s="899">
        <f t="shared" ref="P12:P75" si="0">O12-F12</f>
        <v>-1224045.0758620689</v>
      </c>
      <c r="Q12" s="899">
        <f t="shared" ref="Q12:Q75" si="1">O12-I12</f>
        <v>53243.165517241461</v>
      </c>
      <c r="R12" s="899">
        <f t="shared" ref="R12:R75" si="2">O12-L12</f>
        <v>-22593.317241379293</v>
      </c>
    </row>
    <row r="13" spans="1:18" ht="22.5" customHeight="1">
      <c r="A13" s="891" t="s">
        <v>578</v>
      </c>
      <c r="B13" s="892" t="s">
        <v>579</v>
      </c>
      <c r="C13" s="900" t="s">
        <v>749</v>
      </c>
      <c r="D13" s="894">
        <v>130</v>
      </c>
      <c r="E13" s="894">
        <v>38132558</v>
      </c>
      <c r="F13" s="894">
        <v>293327</v>
      </c>
      <c r="G13" s="895">
        <v>130</v>
      </c>
      <c r="H13" s="896">
        <v>35950000</v>
      </c>
      <c r="I13" s="897">
        <v>276538.46153846156</v>
      </c>
      <c r="J13" s="898">
        <v>130</v>
      </c>
      <c r="K13" s="896">
        <v>37575000</v>
      </c>
      <c r="L13" s="897">
        <v>289038.46153846156</v>
      </c>
      <c r="M13" s="898">
        <v>130</v>
      </c>
      <c r="N13" s="896">
        <v>36782415</v>
      </c>
      <c r="O13" s="897">
        <v>282941.65384615387</v>
      </c>
      <c r="P13" s="899">
        <f t="shared" si="0"/>
        <v>-10385.346153846127</v>
      </c>
      <c r="Q13" s="899">
        <f t="shared" si="1"/>
        <v>6403.1923076923122</v>
      </c>
      <c r="R13" s="899">
        <f t="shared" si="2"/>
        <v>-6096.8076923076878</v>
      </c>
    </row>
    <row r="14" spans="1:18" ht="24" customHeight="1">
      <c r="A14" s="891" t="s">
        <v>580</v>
      </c>
      <c r="B14" s="892" t="s">
        <v>581</v>
      </c>
      <c r="C14" s="893" t="s">
        <v>750</v>
      </c>
      <c r="D14" s="894">
        <v>161</v>
      </c>
      <c r="E14" s="894">
        <v>362521208.50999999</v>
      </c>
      <c r="F14" s="894">
        <v>2251685</v>
      </c>
      <c r="G14" s="895">
        <v>160</v>
      </c>
      <c r="H14" s="896">
        <v>412000000</v>
      </c>
      <c r="I14" s="897">
        <v>2575000</v>
      </c>
      <c r="J14" s="898">
        <v>160</v>
      </c>
      <c r="K14" s="896">
        <v>389769700</v>
      </c>
      <c r="L14" s="897">
        <v>2436060.625</v>
      </c>
      <c r="M14" s="898">
        <v>160</v>
      </c>
      <c r="N14" s="896">
        <v>383906580</v>
      </c>
      <c r="O14" s="897">
        <v>2399416.125</v>
      </c>
      <c r="P14" s="899">
        <f t="shared" si="0"/>
        <v>147731.125</v>
      </c>
      <c r="Q14" s="899">
        <f t="shared" si="1"/>
        <v>-175583.875</v>
      </c>
      <c r="R14" s="899">
        <f t="shared" si="2"/>
        <v>-36644.5</v>
      </c>
    </row>
    <row r="15" spans="1:18" ht="36" customHeight="1">
      <c r="A15" s="891" t="s">
        <v>582</v>
      </c>
      <c r="B15" s="892" t="s">
        <v>583</v>
      </c>
      <c r="C15" s="893" t="s">
        <v>292</v>
      </c>
      <c r="D15" s="894">
        <v>67</v>
      </c>
      <c r="E15" s="894">
        <v>84037067</v>
      </c>
      <c r="F15" s="894">
        <v>1254285</v>
      </c>
      <c r="G15" s="895">
        <v>67</v>
      </c>
      <c r="H15" s="896">
        <v>95800000</v>
      </c>
      <c r="I15" s="897">
        <v>1429850.7462686568</v>
      </c>
      <c r="J15" s="898">
        <v>67</v>
      </c>
      <c r="K15" s="896">
        <v>89693297</v>
      </c>
      <c r="L15" s="897">
        <v>1338705.9253731344</v>
      </c>
      <c r="M15" s="898">
        <v>67</v>
      </c>
      <c r="N15" s="896">
        <v>86347329</v>
      </c>
      <c r="O15" s="897">
        <v>1288766.1044776118</v>
      </c>
      <c r="P15" s="899">
        <f t="shared" si="0"/>
        <v>34481.104477611836</v>
      </c>
      <c r="Q15" s="899">
        <f t="shared" si="1"/>
        <v>-141084.64179104497</v>
      </c>
      <c r="R15" s="899">
        <f t="shared" si="2"/>
        <v>-49939.8208955226</v>
      </c>
    </row>
    <row r="16" spans="1:18">
      <c r="A16" s="891" t="s">
        <v>584</v>
      </c>
      <c r="B16" s="892" t="s">
        <v>585</v>
      </c>
      <c r="C16" s="893" t="s">
        <v>751</v>
      </c>
      <c r="D16" s="894">
        <v>93</v>
      </c>
      <c r="E16" s="894">
        <v>32062978</v>
      </c>
      <c r="F16" s="894">
        <v>344763</v>
      </c>
      <c r="G16" s="895">
        <v>90</v>
      </c>
      <c r="H16" s="896">
        <v>40100000</v>
      </c>
      <c r="I16" s="897">
        <v>445555.55555555556</v>
      </c>
      <c r="J16" s="898">
        <v>90</v>
      </c>
      <c r="K16" s="896">
        <v>33500000</v>
      </c>
      <c r="L16" s="897">
        <v>372222.22222222225</v>
      </c>
      <c r="M16" s="898">
        <v>90</v>
      </c>
      <c r="N16" s="896">
        <v>32344903</v>
      </c>
      <c r="O16" s="897">
        <v>359387.81111111114</v>
      </c>
      <c r="P16" s="899">
        <f t="shared" si="0"/>
        <v>14624.811111111136</v>
      </c>
      <c r="Q16" s="899">
        <f t="shared" si="1"/>
        <v>-86167.744444444426</v>
      </c>
      <c r="R16" s="899">
        <f t="shared" si="2"/>
        <v>-12834.411111111112</v>
      </c>
    </row>
    <row r="17" spans="1:18" ht="15" customHeight="1">
      <c r="A17" s="891" t="s">
        <v>586</v>
      </c>
      <c r="B17" s="892" t="s">
        <v>587</v>
      </c>
      <c r="C17" s="893" t="s">
        <v>752</v>
      </c>
      <c r="D17" s="894">
        <v>1221</v>
      </c>
      <c r="E17" s="894">
        <v>68027098</v>
      </c>
      <c r="F17" s="894">
        <v>55714</v>
      </c>
      <c r="G17" s="895">
        <v>2400</v>
      </c>
      <c r="H17" s="896">
        <v>72300000</v>
      </c>
      <c r="I17" s="897">
        <v>30125</v>
      </c>
      <c r="J17" s="898">
        <v>2400</v>
      </c>
      <c r="K17" s="896">
        <v>83741860</v>
      </c>
      <c r="L17" s="897">
        <v>34892.441666666666</v>
      </c>
      <c r="M17" s="898">
        <v>2400</v>
      </c>
      <c r="N17" s="896">
        <v>81455079</v>
      </c>
      <c r="O17" s="897">
        <v>33939.616249999999</v>
      </c>
      <c r="P17" s="899">
        <f t="shared" si="0"/>
        <v>-21774.383750000001</v>
      </c>
      <c r="Q17" s="899">
        <f t="shared" si="1"/>
        <v>3814.6162499999991</v>
      </c>
      <c r="R17" s="899">
        <f t="shared" si="2"/>
        <v>-952.82541666666657</v>
      </c>
    </row>
    <row r="18" spans="1:18" ht="22.5">
      <c r="A18" s="891" t="s">
        <v>389</v>
      </c>
      <c r="B18" s="892" t="s">
        <v>390</v>
      </c>
      <c r="C18" s="893" t="s">
        <v>748</v>
      </c>
      <c r="D18" s="894">
        <v>250</v>
      </c>
      <c r="E18" s="894">
        <v>383142582.44999999</v>
      </c>
      <c r="F18" s="894">
        <v>1532570</v>
      </c>
      <c r="G18" s="895">
        <v>250</v>
      </c>
      <c r="H18" s="896">
        <v>411800000</v>
      </c>
      <c r="I18" s="897">
        <v>1647200</v>
      </c>
      <c r="J18" s="898">
        <v>250</v>
      </c>
      <c r="K18" s="896">
        <v>416173705</v>
      </c>
      <c r="L18" s="897">
        <v>1664694.82</v>
      </c>
      <c r="M18" s="898">
        <v>250</v>
      </c>
      <c r="N18" s="896">
        <v>409041462</v>
      </c>
      <c r="O18" s="897">
        <v>1636165.848</v>
      </c>
      <c r="P18" s="899">
        <f t="shared" si="0"/>
        <v>103595.848</v>
      </c>
      <c r="Q18" s="899">
        <f t="shared" si="1"/>
        <v>-11034.152000000002</v>
      </c>
      <c r="R18" s="899">
        <f t="shared" si="2"/>
        <v>-28528.972000000067</v>
      </c>
    </row>
    <row r="19" spans="1:18" ht="16.5" customHeight="1">
      <c r="A19" s="891" t="s">
        <v>588</v>
      </c>
      <c r="B19" s="892" t="s">
        <v>589</v>
      </c>
      <c r="C19" s="893" t="s">
        <v>748</v>
      </c>
      <c r="D19" s="894">
        <v>24</v>
      </c>
      <c r="E19" s="894">
        <v>36409245</v>
      </c>
      <c r="F19" s="894">
        <v>1517052</v>
      </c>
      <c r="G19" s="895">
        <v>24</v>
      </c>
      <c r="H19" s="896">
        <v>38400000</v>
      </c>
      <c r="I19" s="897">
        <v>1600000</v>
      </c>
      <c r="J19" s="898">
        <v>24</v>
      </c>
      <c r="K19" s="896">
        <v>41096000</v>
      </c>
      <c r="L19" s="897">
        <v>1712333.3333333333</v>
      </c>
      <c r="M19" s="898">
        <v>24</v>
      </c>
      <c r="N19" s="896">
        <v>39948833</v>
      </c>
      <c r="O19" s="897">
        <v>1664534.7083333333</v>
      </c>
      <c r="P19" s="899">
        <f t="shared" si="0"/>
        <v>147482.70833333326</v>
      </c>
      <c r="Q19" s="899">
        <f t="shared" si="1"/>
        <v>64534.708333333256</v>
      </c>
      <c r="R19" s="899">
        <f t="shared" si="2"/>
        <v>-47798.625</v>
      </c>
    </row>
    <row r="20" spans="1:18" ht="16.5" customHeight="1">
      <c r="A20" s="891" t="s">
        <v>590</v>
      </c>
      <c r="B20" s="892" t="s">
        <v>591</v>
      </c>
      <c r="C20" s="893" t="s">
        <v>748</v>
      </c>
      <c r="D20" s="894">
        <v>412</v>
      </c>
      <c r="E20" s="894">
        <v>647467043</v>
      </c>
      <c r="F20" s="894">
        <v>1571522</v>
      </c>
      <c r="G20" s="895">
        <v>427</v>
      </c>
      <c r="H20" s="896">
        <v>740500000</v>
      </c>
      <c r="I20" s="897">
        <v>1734192.0374707261</v>
      </c>
      <c r="J20" s="898">
        <v>427</v>
      </c>
      <c r="K20" s="896">
        <v>737771097</v>
      </c>
      <c r="L20" s="897">
        <v>1727801.1639344261</v>
      </c>
      <c r="M20" s="898">
        <v>410</v>
      </c>
      <c r="N20" s="896">
        <v>736170560</v>
      </c>
      <c r="O20" s="897">
        <v>1795537.9512195121</v>
      </c>
      <c r="P20" s="899">
        <f t="shared" si="0"/>
        <v>224015.95121951215</v>
      </c>
      <c r="Q20" s="899">
        <f t="shared" si="1"/>
        <v>61345.913748786086</v>
      </c>
      <c r="R20" s="899">
        <f t="shared" si="2"/>
        <v>67736.787285086</v>
      </c>
    </row>
    <row r="21" spans="1:18" ht="16.5" customHeight="1">
      <c r="A21" s="891" t="s">
        <v>592</v>
      </c>
      <c r="B21" s="892" t="s">
        <v>593</v>
      </c>
      <c r="C21" s="893" t="s">
        <v>292</v>
      </c>
      <c r="D21" s="894">
        <v>234</v>
      </c>
      <c r="E21" s="894">
        <v>356950875</v>
      </c>
      <c r="F21" s="894">
        <v>1525431</v>
      </c>
      <c r="G21" s="895">
        <v>234</v>
      </c>
      <c r="H21" s="896">
        <v>389000000</v>
      </c>
      <c r="I21" s="897">
        <v>1662393.1623931625</v>
      </c>
      <c r="J21" s="898">
        <v>234</v>
      </c>
      <c r="K21" s="896">
        <v>438516250</v>
      </c>
      <c r="L21" s="897">
        <v>1874001.0683760685</v>
      </c>
      <c r="M21" s="898">
        <v>234</v>
      </c>
      <c r="N21" s="896">
        <v>405887063</v>
      </c>
      <c r="O21" s="897">
        <v>1734560.0982905983</v>
      </c>
      <c r="P21" s="899">
        <f t="shared" si="0"/>
        <v>209129.09829059825</v>
      </c>
      <c r="Q21" s="899">
        <f t="shared" si="1"/>
        <v>72166.93589743576</v>
      </c>
      <c r="R21" s="899">
        <f t="shared" si="2"/>
        <v>-139440.97008547024</v>
      </c>
    </row>
    <row r="22" spans="1:18" ht="16.5" customHeight="1">
      <c r="A22" s="891" t="s">
        <v>594</v>
      </c>
      <c r="B22" s="892" t="s">
        <v>595</v>
      </c>
      <c r="C22" s="893" t="s">
        <v>292</v>
      </c>
      <c r="D22" s="894">
        <v>599</v>
      </c>
      <c r="E22" s="894">
        <v>834986951</v>
      </c>
      <c r="F22" s="894">
        <v>1393968</v>
      </c>
      <c r="G22" s="895">
        <v>599</v>
      </c>
      <c r="H22" s="896">
        <v>765000000</v>
      </c>
      <c r="I22" s="897">
        <v>1277128.5475792987</v>
      </c>
      <c r="J22" s="898">
        <v>599</v>
      </c>
      <c r="K22" s="896">
        <v>969266304</v>
      </c>
      <c r="L22" s="897">
        <v>1618140.7412353924</v>
      </c>
      <c r="M22" s="898">
        <v>599</v>
      </c>
      <c r="N22" s="896">
        <v>955952577</v>
      </c>
      <c r="O22" s="897">
        <v>1595914.1519198664</v>
      </c>
      <c r="P22" s="899">
        <f t="shared" si="0"/>
        <v>201946.15191986645</v>
      </c>
      <c r="Q22" s="899">
        <f t="shared" si="1"/>
        <v>318785.60434056772</v>
      </c>
      <c r="R22" s="899">
        <f t="shared" si="2"/>
        <v>-22226.589315525955</v>
      </c>
    </row>
    <row r="23" spans="1:18" ht="16.5" customHeight="1">
      <c r="A23" s="891" t="s">
        <v>596</v>
      </c>
      <c r="B23" s="892" t="s">
        <v>597</v>
      </c>
      <c r="C23" s="893" t="s">
        <v>292</v>
      </c>
      <c r="D23" s="894">
        <v>100</v>
      </c>
      <c r="E23" s="894">
        <v>217880737</v>
      </c>
      <c r="F23" s="894">
        <v>2178807</v>
      </c>
      <c r="G23" s="895">
        <v>54</v>
      </c>
      <c r="H23" s="896">
        <v>213400000</v>
      </c>
      <c r="I23" s="897">
        <v>3951851.8518518517</v>
      </c>
      <c r="J23" s="898">
        <v>54</v>
      </c>
      <c r="K23" s="896">
        <v>231391700</v>
      </c>
      <c r="L23" s="897">
        <v>4285031.4814814813</v>
      </c>
      <c r="M23" s="898">
        <v>54</v>
      </c>
      <c r="N23" s="896">
        <v>227667172</v>
      </c>
      <c r="O23" s="897">
        <v>4216058.7407407407</v>
      </c>
      <c r="P23" s="899">
        <f t="shared" si="0"/>
        <v>2037251.7407407407</v>
      </c>
      <c r="Q23" s="899">
        <f t="shared" si="1"/>
        <v>264206.88888888899</v>
      </c>
      <c r="R23" s="899">
        <f t="shared" si="2"/>
        <v>-68972.740740740672</v>
      </c>
    </row>
    <row r="24" spans="1:18" ht="16.5" customHeight="1">
      <c r="A24" s="891" t="s">
        <v>598</v>
      </c>
      <c r="B24" s="892" t="s">
        <v>599</v>
      </c>
      <c r="C24" s="893" t="s">
        <v>244</v>
      </c>
      <c r="D24" s="894">
        <v>0</v>
      </c>
      <c r="E24" s="894">
        <v>0</v>
      </c>
      <c r="F24" s="894">
        <v>0</v>
      </c>
      <c r="G24" s="895">
        <v>1</v>
      </c>
      <c r="H24" s="896">
        <v>787000</v>
      </c>
      <c r="I24" s="897">
        <v>787000</v>
      </c>
      <c r="J24" s="898">
        <v>36</v>
      </c>
      <c r="K24" s="896">
        <v>790694087</v>
      </c>
      <c r="L24" s="897">
        <v>21963724.638888888</v>
      </c>
      <c r="M24" s="898">
        <v>36</v>
      </c>
      <c r="N24" s="896">
        <v>790694087</v>
      </c>
      <c r="O24" s="897">
        <v>21963724.638888888</v>
      </c>
      <c r="P24" s="899">
        <f t="shared" si="0"/>
        <v>21963724.638888888</v>
      </c>
      <c r="Q24" s="899">
        <f t="shared" si="1"/>
        <v>21176724.638888888</v>
      </c>
      <c r="R24" s="899">
        <f t="shared" si="2"/>
        <v>0</v>
      </c>
    </row>
    <row r="25" spans="1:18" ht="27.75" customHeight="1">
      <c r="A25" s="891" t="s">
        <v>602</v>
      </c>
      <c r="B25" s="892" t="s">
        <v>753</v>
      </c>
      <c r="C25" s="893" t="s">
        <v>285</v>
      </c>
      <c r="D25" s="894">
        <v>18</v>
      </c>
      <c r="E25" s="894">
        <v>100819619</v>
      </c>
      <c r="F25" s="894">
        <v>5601090</v>
      </c>
      <c r="G25" s="895">
        <v>18</v>
      </c>
      <c r="H25" s="896">
        <v>121500000</v>
      </c>
      <c r="I25" s="897">
        <v>6750000</v>
      </c>
      <c r="J25" s="898">
        <v>18</v>
      </c>
      <c r="K25" s="896">
        <v>271000000</v>
      </c>
      <c r="L25" s="897">
        <v>15055555.555555556</v>
      </c>
      <c r="M25" s="898">
        <v>14</v>
      </c>
      <c r="N25" s="336">
        <v>209960508</v>
      </c>
      <c r="O25" s="897">
        <v>14997179.142857144</v>
      </c>
      <c r="P25" s="899">
        <f t="shared" si="0"/>
        <v>9396089.1428571437</v>
      </c>
      <c r="Q25" s="899">
        <f t="shared" si="1"/>
        <v>8247179.1428571437</v>
      </c>
      <c r="R25" s="899">
        <f t="shared" si="2"/>
        <v>-58376.412698412314</v>
      </c>
    </row>
    <row r="26" spans="1:18" ht="33.75" customHeight="1">
      <c r="A26" s="891" t="s">
        <v>604</v>
      </c>
      <c r="B26" s="892" t="s">
        <v>754</v>
      </c>
      <c r="C26" s="893" t="s">
        <v>244</v>
      </c>
      <c r="D26" s="894">
        <v>1</v>
      </c>
      <c r="E26" s="894">
        <v>4245768</v>
      </c>
      <c r="F26" s="894">
        <v>4245768</v>
      </c>
      <c r="G26" s="895">
        <v>1</v>
      </c>
      <c r="H26" s="896">
        <v>20000000</v>
      </c>
      <c r="I26" s="897">
        <v>20000000</v>
      </c>
      <c r="J26" s="898">
        <v>1</v>
      </c>
      <c r="K26" s="896">
        <v>10000000</v>
      </c>
      <c r="L26" s="897">
        <v>10000000</v>
      </c>
      <c r="M26" s="898">
        <v>0</v>
      </c>
      <c r="N26" s="896">
        <v>0</v>
      </c>
      <c r="O26" s="897">
        <v>0</v>
      </c>
      <c r="P26" s="899">
        <v>0</v>
      </c>
      <c r="Q26" s="899">
        <v>0</v>
      </c>
      <c r="R26" s="899">
        <v>0</v>
      </c>
    </row>
    <row r="27" spans="1:18" ht="15.75" customHeight="1">
      <c r="A27" s="891" t="s">
        <v>606</v>
      </c>
      <c r="B27" s="892" t="s">
        <v>607</v>
      </c>
      <c r="C27" s="893" t="s">
        <v>244</v>
      </c>
      <c r="D27" s="894"/>
      <c r="E27" s="894">
        <v>0</v>
      </c>
      <c r="F27" s="894"/>
      <c r="G27" s="895">
        <v>1</v>
      </c>
      <c r="H27" s="896">
        <v>282000</v>
      </c>
      <c r="I27" s="897">
        <v>282000</v>
      </c>
      <c r="J27" s="898">
        <v>0</v>
      </c>
      <c r="K27" s="896">
        <v>0</v>
      </c>
      <c r="L27" s="897">
        <v>0</v>
      </c>
      <c r="M27" s="898">
        <v>0</v>
      </c>
      <c r="N27" s="896">
        <v>0</v>
      </c>
      <c r="O27" s="897">
        <v>0</v>
      </c>
      <c r="P27" s="899">
        <f t="shared" si="0"/>
        <v>0</v>
      </c>
      <c r="Q27" s="899">
        <v>0</v>
      </c>
      <c r="R27" s="899">
        <f t="shared" si="2"/>
        <v>0</v>
      </c>
    </row>
    <row r="28" spans="1:18" ht="15.75" customHeight="1">
      <c r="A28" s="891" t="s">
        <v>610</v>
      </c>
      <c r="B28" s="892" t="s">
        <v>611</v>
      </c>
      <c r="C28" s="893" t="s">
        <v>244</v>
      </c>
      <c r="D28" s="894">
        <v>2</v>
      </c>
      <c r="E28" s="894">
        <v>4682040</v>
      </c>
      <c r="F28" s="894">
        <v>2341020</v>
      </c>
      <c r="G28" s="895">
        <v>100</v>
      </c>
      <c r="H28" s="896">
        <v>20000000</v>
      </c>
      <c r="I28" s="897">
        <v>200000</v>
      </c>
      <c r="J28" s="898">
        <v>160</v>
      </c>
      <c r="K28" s="896">
        <v>31820000</v>
      </c>
      <c r="L28" s="897">
        <v>198875</v>
      </c>
      <c r="M28" s="898">
        <v>90</v>
      </c>
      <c r="N28" s="896">
        <v>18315480</v>
      </c>
      <c r="O28" s="897">
        <v>0</v>
      </c>
      <c r="P28" s="899">
        <f t="shared" si="0"/>
        <v>-2341020</v>
      </c>
      <c r="Q28" s="899">
        <f t="shared" si="1"/>
        <v>-200000</v>
      </c>
      <c r="R28" s="899">
        <f t="shared" si="2"/>
        <v>-198875</v>
      </c>
    </row>
    <row r="29" spans="1:18" ht="59.25" customHeight="1">
      <c r="A29" s="891" t="s">
        <v>612</v>
      </c>
      <c r="B29" s="892" t="s">
        <v>755</v>
      </c>
      <c r="C29" s="893" t="s">
        <v>244</v>
      </c>
      <c r="D29" s="894"/>
      <c r="E29" s="894">
        <v>0</v>
      </c>
      <c r="F29" s="894"/>
      <c r="G29" s="895">
        <v>1</v>
      </c>
      <c r="H29" s="896">
        <v>14446000</v>
      </c>
      <c r="I29" s="897">
        <v>14446000</v>
      </c>
      <c r="J29" s="898">
        <v>1</v>
      </c>
      <c r="K29" s="896">
        <v>14446000</v>
      </c>
      <c r="L29" s="897">
        <v>14446000</v>
      </c>
      <c r="M29" s="898">
        <v>0</v>
      </c>
      <c r="N29" s="896">
        <v>0</v>
      </c>
      <c r="O29" s="897">
        <v>0</v>
      </c>
      <c r="P29" s="899">
        <f t="shared" si="0"/>
        <v>0</v>
      </c>
      <c r="Q29" s="901">
        <v>0</v>
      </c>
      <c r="R29" s="901">
        <v>0</v>
      </c>
    </row>
    <row r="30" spans="1:18" ht="43.5" customHeight="1">
      <c r="A30" s="891" t="s">
        <v>614</v>
      </c>
      <c r="B30" s="892" t="s">
        <v>756</v>
      </c>
      <c r="C30" s="893" t="s">
        <v>244</v>
      </c>
      <c r="D30" s="894"/>
      <c r="E30" s="894">
        <v>0</v>
      </c>
      <c r="F30" s="894"/>
      <c r="G30" s="895">
        <v>1</v>
      </c>
      <c r="H30" s="896">
        <v>1200000</v>
      </c>
      <c r="I30" s="897">
        <v>1200000</v>
      </c>
      <c r="J30" s="898">
        <v>1</v>
      </c>
      <c r="K30" s="896">
        <v>1200000</v>
      </c>
      <c r="L30" s="897">
        <v>1200000</v>
      </c>
      <c r="M30" s="898">
        <v>0</v>
      </c>
      <c r="N30" s="896">
        <v>0</v>
      </c>
      <c r="O30" s="897">
        <v>0</v>
      </c>
      <c r="P30" s="899">
        <f t="shared" si="0"/>
        <v>0</v>
      </c>
      <c r="Q30" s="901">
        <v>0</v>
      </c>
      <c r="R30" s="901">
        <v>0</v>
      </c>
    </row>
    <row r="31" spans="1:18" ht="43.5" customHeight="1">
      <c r="A31" s="891" t="s">
        <v>616</v>
      </c>
      <c r="B31" s="892" t="s">
        <v>757</v>
      </c>
      <c r="C31" s="893" t="s">
        <v>244</v>
      </c>
      <c r="D31" s="894"/>
      <c r="E31" s="894">
        <v>0</v>
      </c>
      <c r="F31" s="894"/>
      <c r="G31" s="895">
        <v>1</v>
      </c>
      <c r="H31" s="896">
        <v>14347000</v>
      </c>
      <c r="I31" s="897">
        <v>14347000</v>
      </c>
      <c r="J31" s="898">
        <v>0</v>
      </c>
      <c r="K31" s="896">
        <v>0</v>
      </c>
      <c r="L31" s="897">
        <v>0</v>
      </c>
      <c r="M31" s="898">
        <v>0</v>
      </c>
      <c r="N31" s="896">
        <v>0</v>
      </c>
      <c r="O31" s="897">
        <v>0</v>
      </c>
      <c r="P31" s="899">
        <f t="shared" si="0"/>
        <v>0</v>
      </c>
      <c r="Q31" s="901">
        <v>0</v>
      </c>
      <c r="R31" s="901">
        <v>0</v>
      </c>
    </row>
    <row r="32" spans="1:18" ht="22.5">
      <c r="A32" s="891" t="s">
        <v>618</v>
      </c>
      <c r="B32" s="892" t="s">
        <v>619</v>
      </c>
      <c r="C32" s="893" t="s">
        <v>310</v>
      </c>
      <c r="D32" s="894"/>
      <c r="E32" s="894">
        <v>0</v>
      </c>
      <c r="F32" s="894"/>
      <c r="G32" s="895">
        <v>1</v>
      </c>
      <c r="H32" s="896">
        <v>6500000</v>
      </c>
      <c r="I32" s="897">
        <v>6500000</v>
      </c>
      <c r="J32" s="898">
        <v>0</v>
      </c>
      <c r="K32" s="896">
        <v>0</v>
      </c>
      <c r="L32" s="897">
        <v>0</v>
      </c>
      <c r="M32" s="898">
        <v>0</v>
      </c>
      <c r="N32" s="896">
        <v>0</v>
      </c>
      <c r="O32" s="897">
        <v>0</v>
      </c>
      <c r="P32" s="899">
        <f t="shared" si="0"/>
        <v>0</v>
      </c>
      <c r="Q32" s="901">
        <v>0</v>
      </c>
      <c r="R32" s="901">
        <v>0</v>
      </c>
    </row>
    <row r="33" spans="1:18">
      <c r="A33" s="891" t="s">
        <v>620</v>
      </c>
      <c r="B33" s="892" t="s">
        <v>621</v>
      </c>
      <c r="C33" s="893" t="s">
        <v>244</v>
      </c>
      <c r="D33" s="894"/>
      <c r="E33" s="894">
        <v>0</v>
      </c>
      <c r="F33" s="894"/>
      <c r="G33" s="895">
        <v>20</v>
      </c>
      <c r="H33" s="896">
        <v>600000</v>
      </c>
      <c r="I33" s="897">
        <v>30000</v>
      </c>
      <c r="J33" s="898">
        <v>20</v>
      </c>
      <c r="K33" s="896">
        <v>600000</v>
      </c>
      <c r="L33" s="897">
        <v>30000</v>
      </c>
      <c r="M33" s="898">
        <v>20</v>
      </c>
      <c r="N33" s="896">
        <v>513012</v>
      </c>
      <c r="O33" s="897">
        <v>25650.6</v>
      </c>
      <c r="P33" s="899">
        <f t="shared" si="0"/>
        <v>25650.6</v>
      </c>
      <c r="Q33" s="899">
        <f t="shared" si="1"/>
        <v>-4349.4000000000015</v>
      </c>
      <c r="R33" s="899">
        <f t="shared" si="2"/>
        <v>-4349.4000000000015</v>
      </c>
    </row>
    <row r="34" spans="1:18" ht="37.5" customHeight="1">
      <c r="A34" s="891" t="s">
        <v>622</v>
      </c>
      <c r="B34" s="892" t="s">
        <v>758</v>
      </c>
      <c r="C34" s="893" t="s">
        <v>244</v>
      </c>
      <c r="D34" s="894"/>
      <c r="E34" s="894">
        <v>0</v>
      </c>
      <c r="F34" s="894"/>
      <c r="G34" s="895">
        <v>1</v>
      </c>
      <c r="H34" s="896">
        <v>14000000</v>
      </c>
      <c r="I34" s="897">
        <v>14000000</v>
      </c>
      <c r="J34" s="898">
        <v>1</v>
      </c>
      <c r="K34" s="896">
        <v>14000000</v>
      </c>
      <c r="L34" s="897">
        <v>14000000</v>
      </c>
      <c r="M34" s="898">
        <v>0</v>
      </c>
      <c r="N34" s="896">
        <v>0</v>
      </c>
      <c r="O34" s="897">
        <v>0</v>
      </c>
      <c r="P34" s="899">
        <f t="shared" si="0"/>
        <v>0</v>
      </c>
      <c r="Q34" s="901">
        <v>0</v>
      </c>
      <c r="R34" s="901">
        <v>0</v>
      </c>
    </row>
    <row r="35" spans="1:18" ht="37.5" customHeight="1">
      <c r="A35" s="891" t="s">
        <v>624</v>
      </c>
      <c r="B35" s="892" t="s">
        <v>759</v>
      </c>
      <c r="C35" s="893" t="s">
        <v>285</v>
      </c>
      <c r="D35" s="894">
        <v>1</v>
      </c>
      <c r="E35" s="894">
        <v>0</v>
      </c>
      <c r="F35" s="894">
        <v>0</v>
      </c>
      <c r="G35" s="895">
        <v>1</v>
      </c>
      <c r="H35" s="896">
        <v>37000000</v>
      </c>
      <c r="I35" s="897">
        <v>37000000</v>
      </c>
      <c r="J35" s="898">
        <v>1</v>
      </c>
      <c r="K35" s="896">
        <v>7000000</v>
      </c>
      <c r="L35" s="897">
        <v>7000000</v>
      </c>
      <c r="M35" s="898">
        <v>0</v>
      </c>
      <c r="N35" s="896">
        <v>0</v>
      </c>
      <c r="O35" s="897">
        <v>0</v>
      </c>
      <c r="P35" s="899">
        <f t="shared" si="0"/>
        <v>0</v>
      </c>
      <c r="Q35" s="901">
        <v>0</v>
      </c>
      <c r="R35" s="901">
        <v>0</v>
      </c>
    </row>
    <row r="36" spans="1:18" ht="56.25" customHeight="1">
      <c r="A36" s="891" t="s">
        <v>628</v>
      </c>
      <c r="B36" s="892" t="s">
        <v>760</v>
      </c>
      <c r="C36" s="893" t="s">
        <v>761</v>
      </c>
      <c r="D36" s="894"/>
      <c r="E36" s="894">
        <v>0</v>
      </c>
      <c r="F36" s="894"/>
      <c r="G36" s="895">
        <v>150</v>
      </c>
      <c r="H36" s="896">
        <v>8000000</v>
      </c>
      <c r="I36" s="897">
        <v>53333.333333333336</v>
      </c>
      <c r="J36" s="898">
        <v>0</v>
      </c>
      <c r="K36" s="896">
        <v>0</v>
      </c>
      <c r="L36" s="897">
        <v>0</v>
      </c>
      <c r="M36" s="898">
        <v>0</v>
      </c>
      <c r="N36" s="896">
        <v>0</v>
      </c>
      <c r="O36" s="897">
        <v>0</v>
      </c>
      <c r="P36" s="899">
        <f t="shared" si="0"/>
        <v>0</v>
      </c>
      <c r="Q36" s="901">
        <v>0</v>
      </c>
      <c r="R36" s="901">
        <v>0</v>
      </c>
    </row>
    <row r="37" spans="1:18" ht="33" customHeight="1">
      <c r="A37" s="891" t="s">
        <v>630</v>
      </c>
      <c r="B37" s="892" t="s">
        <v>631</v>
      </c>
      <c r="C37" s="893" t="s">
        <v>244</v>
      </c>
      <c r="D37" s="894"/>
      <c r="E37" s="894">
        <v>0</v>
      </c>
      <c r="F37" s="894"/>
      <c r="G37" s="895">
        <v>1</v>
      </c>
      <c r="H37" s="896">
        <v>4000000</v>
      </c>
      <c r="I37" s="897">
        <v>4000000</v>
      </c>
      <c r="J37" s="898">
        <v>1</v>
      </c>
      <c r="K37" s="896">
        <v>4000000</v>
      </c>
      <c r="L37" s="897">
        <v>4000000</v>
      </c>
      <c r="M37" s="898">
        <v>1</v>
      </c>
      <c r="N37" s="896">
        <v>3834000</v>
      </c>
      <c r="O37" s="897">
        <v>0</v>
      </c>
      <c r="P37" s="899">
        <f t="shared" si="0"/>
        <v>0</v>
      </c>
      <c r="Q37" s="899">
        <f t="shared" si="1"/>
        <v>-4000000</v>
      </c>
      <c r="R37" s="899">
        <f t="shared" si="2"/>
        <v>-4000000</v>
      </c>
    </row>
    <row r="38" spans="1:18" ht="33" customHeight="1">
      <c r="A38" s="891" t="s">
        <v>636</v>
      </c>
      <c r="B38" s="892" t="s">
        <v>637</v>
      </c>
      <c r="C38" s="893" t="s">
        <v>237</v>
      </c>
      <c r="D38" s="894"/>
      <c r="E38" s="894">
        <v>0</v>
      </c>
      <c r="F38" s="894"/>
      <c r="G38" s="895">
        <v>1</v>
      </c>
      <c r="H38" s="896">
        <v>5000000</v>
      </c>
      <c r="I38" s="897">
        <v>5000000</v>
      </c>
      <c r="J38" s="898">
        <v>0</v>
      </c>
      <c r="K38" s="896">
        <v>0</v>
      </c>
      <c r="L38" s="897">
        <v>0</v>
      </c>
      <c r="M38" s="898">
        <v>0</v>
      </c>
      <c r="N38" s="896">
        <v>0</v>
      </c>
      <c r="O38" s="897">
        <v>0</v>
      </c>
      <c r="P38" s="899">
        <f t="shared" si="0"/>
        <v>0</v>
      </c>
      <c r="Q38" s="901">
        <v>0</v>
      </c>
      <c r="R38" s="901">
        <v>0</v>
      </c>
    </row>
    <row r="39" spans="1:18" ht="43.5" customHeight="1">
      <c r="A39" s="891" t="s">
        <v>638</v>
      </c>
      <c r="B39" s="892" t="s">
        <v>762</v>
      </c>
      <c r="C39" s="893" t="s">
        <v>237</v>
      </c>
      <c r="D39" s="894">
        <v>5856</v>
      </c>
      <c r="E39" s="894">
        <v>167492093</v>
      </c>
      <c r="F39" s="894">
        <v>28602</v>
      </c>
      <c r="G39" s="895">
        <v>1500</v>
      </c>
      <c r="H39" s="896">
        <v>295000000</v>
      </c>
      <c r="I39" s="897">
        <v>196666.66666666666</v>
      </c>
      <c r="J39" s="898">
        <v>1500</v>
      </c>
      <c r="K39" s="896">
        <v>299000000</v>
      </c>
      <c r="L39" s="897">
        <v>199333.33333333334</v>
      </c>
      <c r="M39" s="902">
        <v>1433.5328578595318</v>
      </c>
      <c r="N39" s="896">
        <v>285750883</v>
      </c>
      <c r="O39" s="897">
        <v>199333.33333333334</v>
      </c>
      <c r="P39" s="899">
        <f t="shared" si="0"/>
        <v>170731.33333333334</v>
      </c>
      <c r="Q39" s="899">
        <f t="shared" si="1"/>
        <v>2666.6666666666861</v>
      </c>
      <c r="R39" s="899">
        <f t="shared" si="2"/>
        <v>0</v>
      </c>
    </row>
    <row r="40" spans="1:18" ht="56.25" customHeight="1">
      <c r="A40" s="891" t="s">
        <v>640</v>
      </c>
      <c r="B40" s="892" t="s">
        <v>763</v>
      </c>
      <c r="C40" s="893" t="s">
        <v>237</v>
      </c>
      <c r="D40" s="894">
        <v>1100</v>
      </c>
      <c r="E40" s="894">
        <v>38200243</v>
      </c>
      <c r="F40" s="894">
        <v>34727</v>
      </c>
      <c r="G40" s="895">
        <v>1100</v>
      </c>
      <c r="H40" s="896">
        <v>138058000</v>
      </c>
      <c r="I40" s="897">
        <v>125507.27272727272</v>
      </c>
      <c r="J40" s="898">
        <v>50</v>
      </c>
      <c r="K40" s="896">
        <v>5744247</v>
      </c>
      <c r="L40" s="897">
        <v>114884.94</v>
      </c>
      <c r="M40" s="903">
        <v>50</v>
      </c>
      <c r="N40" s="896">
        <v>5738192</v>
      </c>
      <c r="O40" s="897">
        <v>114763.84</v>
      </c>
      <c r="P40" s="899">
        <f t="shared" si="0"/>
        <v>80036.84</v>
      </c>
      <c r="Q40" s="899">
        <f t="shared" si="1"/>
        <v>-10743.432727272724</v>
      </c>
      <c r="R40" s="899">
        <f t="shared" si="2"/>
        <v>-121.10000000000582</v>
      </c>
    </row>
    <row r="41" spans="1:18" ht="49.5" customHeight="1">
      <c r="A41" s="891" t="s">
        <v>642</v>
      </c>
      <c r="B41" s="892" t="s">
        <v>764</v>
      </c>
      <c r="C41" s="893" t="s">
        <v>237</v>
      </c>
      <c r="D41" s="894">
        <v>1100</v>
      </c>
      <c r="E41" s="894">
        <v>46416147.200000003</v>
      </c>
      <c r="F41" s="894">
        <v>42196</v>
      </c>
      <c r="G41" s="895">
        <v>150</v>
      </c>
      <c r="H41" s="896">
        <v>25000000</v>
      </c>
      <c r="I41" s="897">
        <v>166666.66666666666</v>
      </c>
      <c r="J41" s="898">
        <v>0</v>
      </c>
      <c r="K41" s="896">
        <v>0</v>
      </c>
      <c r="L41" s="897">
        <v>0</v>
      </c>
      <c r="M41" s="903">
        <v>0</v>
      </c>
      <c r="N41" s="896">
        <v>0</v>
      </c>
      <c r="O41" s="897">
        <v>0</v>
      </c>
      <c r="P41" s="899">
        <f t="shared" si="0"/>
        <v>-42196</v>
      </c>
      <c r="Q41" s="899">
        <f t="shared" si="1"/>
        <v>-166666.66666666666</v>
      </c>
      <c r="R41" s="899">
        <f t="shared" si="2"/>
        <v>0</v>
      </c>
    </row>
    <row r="42" spans="1:18" ht="49.5" customHeight="1">
      <c r="A42" s="891" t="s">
        <v>644</v>
      </c>
      <c r="B42" s="892" t="s">
        <v>765</v>
      </c>
      <c r="C42" s="893" t="s">
        <v>237</v>
      </c>
      <c r="D42" s="894"/>
      <c r="E42" s="894">
        <v>39943853</v>
      </c>
      <c r="F42" s="894"/>
      <c r="G42" s="895">
        <v>1500</v>
      </c>
      <c r="H42" s="896">
        <v>283500000</v>
      </c>
      <c r="I42" s="897">
        <v>189000</v>
      </c>
      <c r="J42" s="898">
        <v>1500</v>
      </c>
      <c r="K42" s="896">
        <v>283500000</v>
      </c>
      <c r="L42" s="897">
        <v>189000</v>
      </c>
      <c r="M42" s="902">
        <v>1400</v>
      </c>
      <c r="N42" s="896">
        <v>267350290</v>
      </c>
      <c r="O42" s="897">
        <v>190964.49285714285</v>
      </c>
      <c r="P42" s="899">
        <f t="shared" si="0"/>
        <v>190964.49285714285</v>
      </c>
      <c r="Q42" s="899">
        <f t="shared" si="1"/>
        <v>1964.4928571428463</v>
      </c>
      <c r="R42" s="899">
        <f t="shared" si="2"/>
        <v>1964.4928571428463</v>
      </c>
    </row>
    <row r="43" spans="1:18" ht="49.5" customHeight="1">
      <c r="A43" s="891" t="s">
        <v>646</v>
      </c>
      <c r="B43" s="892" t="s">
        <v>766</v>
      </c>
      <c r="C43" s="893" t="s">
        <v>237</v>
      </c>
      <c r="D43" s="894">
        <v>1900</v>
      </c>
      <c r="E43" s="894">
        <v>16269244</v>
      </c>
      <c r="F43" s="894">
        <v>8563</v>
      </c>
      <c r="G43" s="895">
        <v>1900</v>
      </c>
      <c r="H43" s="896">
        <v>43564000</v>
      </c>
      <c r="I43" s="897">
        <v>22928.42105263158</v>
      </c>
      <c r="J43" s="898">
        <v>1900</v>
      </c>
      <c r="K43" s="896">
        <v>46564000</v>
      </c>
      <c r="L43" s="897">
        <v>24507.36842105263</v>
      </c>
      <c r="M43" s="898">
        <v>1750</v>
      </c>
      <c r="N43" s="896">
        <v>44008578</v>
      </c>
      <c r="O43" s="897">
        <v>0</v>
      </c>
      <c r="P43" s="899">
        <f t="shared" si="0"/>
        <v>-8563</v>
      </c>
      <c r="Q43" s="899">
        <f t="shared" si="1"/>
        <v>-22928.42105263158</v>
      </c>
      <c r="R43" s="899">
        <f t="shared" si="2"/>
        <v>-24507.36842105263</v>
      </c>
    </row>
    <row r="44" spans="1:18" ht="36.75" customHeight="1">
      <c r="A44" s="891" t="s">
        <v>660</v>
      </c>
      <c r="B44" s="892" t="s">
        <v>661</v>
      </c>
      <c r="C44" s="893" t="s">
        <v>237</v>
      </c>
      <c r="D44" s="894"/>
      <c r="E44" s="894">
        <v>0</v>
      </c>
      <c r="F44" s="894"/>
      <c r="G44" s="895">
        <v>1</v>
      </c>
      <c r="H44" s="896">
        <v>4718000</v>
      </c>
      <c r="I44" s="897">
        <v>4718000</v>
      </c>
      <c r="J44" s="898">
        <v>0</v>
      </c>
      <c r="K44" s="896">
        <v>0</v>
      </c>
      <c r="L44" s="897">
        <v>0</v>
      </c>
      <c r="M44" s="898">
        <v>0</v>
      </c>
      <c r="N44" s="896">
        <v>0</v>
      </c>
      <c r="O44" s="897">
        <v>0</v>
      </c>
      <c r="P44" s="899">
        <f t="shared" si="0"/>
        <v>0</v>
      </c>
      <c r="Q44" s="899">
        <f t="shared" si="1"/>
        <v>-4718000</v>
      </c>
      <c r="R44" s="899">
        <f t="shared" si="2"/>
        <v>0</v>
      </c>
    </row>
    <row r="45" spans="1:18" ht="36.75" customHeight="1">
      <c r="A45" s="891" t="s">
        <v>662</v>
      </c>
      <c r="B45" s="892" t="s">
        <v>663</v>
      </c>
      <c r="C45" s="893" t="s">
        <v>237</v>
      </c>
      <c r="D45" s="894">
        <v>1000</v>
      </c>
      <c r="E45" s="894">
        <v>0</v>
      </c>
      <c r="F45" s="894">
        <v>0</v>
      </c>
      <c r="G45" s="895">
        <v>3000</v>
      </c>
      <c r="H45" s="896">
        <v>85000000</v>
      </c>
      <c r="I45" s="897">
        <v>28333.333333333332</v>
      </c>
      <c r="J45" s="898">
        <v>3000</v>
      </c>
      <c r="K45" s="896">
        <v>84597690</v>
      </c>
      <c r="L45" s="897">
        <v>28199.23</v>
      </c>
      <c r="M45" s="902">
        <v>3000</v>
      </c>
      <c r="N45" s="896">
        <v>84596849</v>
      </c>
      <c r="O45" s="897">
        <v>28198.949666666667</v>
      </c>
      <c r="P45" s="899">
        <f t="shared" si="0"/>
        <v>28198.949666666667</v>
      </c>
      <c r="Q45" s="899">
        <f t="shared" si="1"/>
        <v>-134.38366666666479</v>
      </c>
      <c r="R45" s="899">
        <f t="shared" si="2"/>
        <v>-0.28033333333223709</v>
      </c>
    </row>
    <row r="46" spans="1:18" ht="36.75" customHeight="1">
      <c r="A46" s="891" t="s">
        <v>666</v>
      </c>
      <c r="B46" s="892" t="s">
        <v>767</v>
      </c>
      <c r="C46" s="893" t="s">
        <v>244</v>
      </c>
      <c r="D46" s="894">
        <v>50</v>
      </c>
      <c r="E46" s="894">
        <v>0</v>
      </c>
      <c r="F46" s="894">
        <v>0</v>
      </c>
      <c r="G46" s="895">
        <v>1</v>
      </c>
      <c r="H46" s="896">
        <v>7500000</v>
      </c>
      <c r="I46" s="897">
        <v>7500000</v>
      </c>
      <c r="J46" s="898">
        <v>1</v>
      </c>
      <c r="K46" s="896">
        <v>2444625</v>
      </c>
      <c r="L46" s="897">
        <v>2444625</v>
      </c>
      <c r="M46" s="902">
        <v>15</v>
      </c>
      <c r="N46" s="896">
        <v>2074706</v>
      </c>
      <c r="O46" s="897">
        <v>138313.73333333334</v>
      </c>
      <c r="P46" s="899">
        <f t="shared" si="0"/>
        <v>138313.73333333334</v>
      </c>
      <c r="Q46" s="899">
        <f t="shared" si="1"/>
        <v>-7361686.2666666666</v>
      </c>
      <c r="R46" s="899">
        <f t="shared" si="2"/>
        <v>-2306311.2666666666</v>
      </c>
    </row>
    <row r="47" spans="1:18" ht="16.5" customHeight="1">
      <c r="A47" s="891" t="s">
        <v>668</v>
      </c>
      <c r="B47" s="892" t="s">
        <v>669</v>
      </c>
      <c r="C47" s="893" t="s">
        <v>244</v>
      </c>
      <c r="D47" s="894">
        <v>5</v>
      </c>
      <c r="E47" s="894">
        <v>8160000</v>
      </c>
      <c r="F47" s="894">
        <v>1632000</v>
      </c>
      <c r="G47" s="895">
        <v>1</v>
      </c>
      <c r="H47" s="896">
        <v>21380000</v>
      </c>
      <c r="I47" s="897">
        <v>21380000</v>
      </c>
      <c r="J47" s="898">
        <v>1</v>
      </c>
      <c r="K47" s="896">
        <v>0</v>
      </c>
      <c r="L47" s="897">
        <v>0</v>
      </c>
      <c r="M47" s="904">
        <v>0</v>
      </c>
      <c r="N47" s="896">
        <v>0</v>
      </c>
      <c r="O47" s="897">
        <v>0</v>
      </c>
      <c r="P47" s="899">
        <f t="shared" si="0"/>
        <v>-1632000</v>
      </c>
      <c r="Q47" s="899">
        <f t="shared" si="1"/>
        <v>-21380000</v>
      </c>
      <c r="R47" s="899">
        <f t="shared" si="2"/>
        <v>0</v>
      </c>
    </row>
    <row r="48" spans="1:18" ht="21.75" customHeight="1">
      <c r="A48" s="891" t="s">
        <v>672</v>
      </c>
      <c r="B48" s="892" t="s">
        <v>673</v>
      </c>
      <c r="C48" s="893" t="s">
        <v>281</v>
      </c>
      <c r="D48" s="894"/>
      <c r="E48" s="894">
        <v>0</v>
      </c>
      <c r="F48" s="894"/>
      <c r="G48" s="895">
        <v>1</v>
      </c>
      <c r="H48" s="896">
        <v>27500000</v>
      </c>
      <c r="I48" s="897">
        <v>27500000</v>
      </c>
      <c r="J48" s="898">
        <v>0</v>
      </c>
      <c r="K48" s="896">
        <v>0</v>
      </c>
      <c r="L48" s="897">
        <v>0</v>
      </c>
      <c r="M48" s="904">
        <v>0</v>
      </c>
      <c r="N48" s="896">
        <v>0</v>
      </c>
      <c r="O48" s="897">
        <v>0</v>
      </c>
      <c r="P48" s="899">
        <f t="shared" si="0"/>
        <v>0</v>
      </c>
      <c r="Q48" s="899">
        <f t="shared" si="1"/>
        <v>-27500000</v>
      </c>
      <c r="R48" s="899">
        <f t="shared" si="2"/>
        <v>0</v>
      </c>
    </row>
    <row r="49" spans="1:18" ht="21.75" customHeight="1">
      <c r="A49" s="891" t="s">
        <v>674</v>
      </c>
      <c r="B49" s="892" t="s">
        <v>675</v>
      </c>
      <c r="C49" s="893" t="s">
        <v>285</v>
      </c>
      <c r="D49" s="894"/>
      <c r="E49" s="894">
        <v>0</v>
      </c>
      <c r="F49" s="894"/>
      <c r="G49" s="895">
        <v>1</v>
      </c>
      <c r="H49" s="896">
        <v>15000000</v>
      </c>
      <c r="I49" s="897">
        <v>15000000</v>
      </c>
      <c r="J49" s="898">
        <v>1</v>
      </c>
      <c r="K49" s="896">
        <v>9696000</v>
      </c>
      <c r="L49" s="897">
        <v>9696000</v>
      </c>
      <c r="M49" s="902">
        <v>1</v>
      </c>
      <c r="N49" s="896">
        <v>9696000</v>
      </c>
      <c r="O49" s="897">
        <v>9696000</v>
      </c>
      <c r="P49" s="899">
        <f t="shared" si="0"/>
        <v>9696000</v>
      </c>
      <c r="Q49" s="899">
        <f t="shared" si="1"/>
        <v>-5304000</v>
      </c>
      <c r="R49" s="899">
        <f t="shared" si="2"/>
        <v>0</v>
      </c>
    </row>
    <row r="50" spans="1:18" ht="21.75" customHeight="1">
      <c r="A50" s="891" t="s">
        <v>676</v>
      </c>
      <c r="B50" s="892" t="s">
        <v>677</v>
      </c>
      <c r="C50" s="893" t="s">
        <v>768</v>
      </c>
      <c r="D50" s="894"/>
      <c r="E50" s="894">
        <v>0</v>
      </c>
      <c r="F50" s="894"/>
      <c r="G50" s="895">
        <v>1</v>
      </c>
      <c r="H50" s="896">
        <v>17000000</v>
      </c>
      <c r="I50" s="897">
        <v>17000000</v>
      </c>
      <c r="J50" s="898">
        <v>0</v>
      </c>
      <c r="K50" s="896">
        <v>0</v>
      </c>
      <c r="L50" s="897">
        <v>0</v>
      </c>
      <c r="M50" s="898">
        <v>0</v>
      </c>
      <c r="N50" s="896">
        <v>0</v>
      </c>
      <c r="O50" s="897">
        <v>0</v>
      </c>
      <c r="P50" s="899">
        <f t="shared" si="0"/>
        <v>0</v>
      </c>
      <c r="Q50" s="899">
        <f t="shared" si="1"/>
        <v>-17000000</v>
      </c>
      <c r="R50" s="899">
        <f t="shared" si="2"/>
        <v>0</v>
      </c>
    </row>
    <row r="51" spans="1:18" ht="21.75" customHeight="1">
      <c r="A51" s="891" t="s">
        <v>678</v>
      </c>
      <c r="B51" s="892" t="s">
        <v>679</v>
      </c>
      <c r="C51" s="893" t="s">
        <v>244</v>
      </c>
      <c r="D51" s="894">
        <v>1</v>
      </c>
      <c r="E51" s="894">
        <v>952800</v>
      </c>
      <c r="F51" s="894">
        <v>952800</v>
      </c>
      <c r="G51" s="895">
        <v>1</v>
      </c>
      <c r="H51" s="896">
        <v>1000000</v>
      </c>
      <c r="I51" s="897">
        <v>1000000</v>
      </c>
      <c r="J51" s="898">
        <v>1</v>
      </c>
      <c r="K51" s="896">
        <v>1000000</v>
      </c>
      <c r="L51" s="897">
        <v>1000000</v>
      </c>
      <c r="M51" s="898">
        <v>1</v>
      </c>
      <c r="N51" s="896">
        <v>988800</v>
      </c>
      <c r="O51" s="897">
        <v>0</v>
      </c>
      <c r="P51" s="899">
        <f t="shared" si="0"/>
        <v>-952800</v>
      </c>
      <c r="Q51" s="899">
        <f t="shared" si="1"/>
        <v>-1000000</v>
      </c>
      <c r="R51" s="899">
        <f t="shared" si="2"/>
        <v>-1000000</v>
      </c>
    </row>
    <row r="52" spans="1:18" ht="21.75" customHeight="1">
      <c r="A52" s="891" t="s">
        <v>684</v>
      </c>
      <c r="B52" s="892" t="s">
        <v>685</v>
      </c>
      <c r="C52" s="893" t="s">
        <v>244</v>
      </c>
      <c r="D52" s="894"/>
      <c r="E52" s="894">
        <v>0</v>
      </c>
      <c r="F52" s="894"/>
      <c r="G52" s="895">
        <v>120</v>
      </c>
      <c r="H52" s="896">
        <v>15000000</v>
      </c>
      <c r="I52" s="897">
        <v>125000</v>
      </c>
      <c r="J52" s="898">
        <v>0</v>
      </c>
      <c r="K52" s="896">
        <v>0</v>
      </c>
      <c r="L52" s="897">
        <v>0</v>
      </c>
      <c r="M52" s="898">
        <v>0</v>
      </c>
      <c r="N52" s="896">
        <v>0</v>
      </c>
      <c r="O52" s="897">
        <v>0</v>
      </c>
      <c r="P52" s="901">
        <v>0</v>
      </c>
      <c r="Q52" s="901">
        <v>0</v>
      </c>
      <c r="R52" s="901">
        <v>0</v>
      </c>
    </row>
    <row r="53" spans="1:18" ht="21.75" customHeight="1">
      <c r="A53" s="891" t="s">
        <v>686</v>
      </c>
      <c r="B53" s="892" t="s">
        <v>769</v>
      </c>
      <c r="C53" s="893" t="s">
        <v>287</v>
      </c>
      <c r="D53" s="894"/>
      <c r="E53" s="894">
        <v>0</v>
      </c>
      <c r="F53" s="894"/>
      <c r="G53" s="895">
        <v>1</v>
      </c>
      <c r="H53" s="896">
        <v>12000000</v>
      </c>
      <c r="I53" s="897">
        <v>12000000</v>
      </c>
      <c r="J53" s="898">
        <v>0</v>
      </c>
      <c r="K53" s="896">
        <v>0</v>
      </c>
      <c r="L53" s="897">
        <v>0</v>
      </c>
      <c r="M53" s="898">
        <v>0</v>
      </c>
      <c r="N53" s="896">
        <v>0</v>
      </c>
      <c r="O53" s="897">
        <v>0</v>
      </c>
      <c r="P53" s="901">
        <v>0</v>
      </c>
      <c r="Q53" s="901">
        <v>0</v>
      </c>
      <c r="R53" s="901">
        <v>0</v>
      </c>
    </row>
    <row r="54" spans="1:18" ht="51" customHeight="1">
      <c r="A54" s="891" t="s">
        <v>688</v>
      </c>
      <c r="B54" s="892" t="s">
        <v>689</v>
      </c>
      <c r="C54" s="893" t="s">
        <v>287</v>
      </c>
      <c r="D54" s="894">
        <v>0</v>
      </c>
      <c r="E54" s="894">
        <v>0</v>
      </c>
      <c r="F54" s="894"/>
      <c r="G54" s="895">
        <v>1</v>
      </c>
      <c r="H54" s="896">
        <v>15000000</v>
      </c>
      <c r="I54" s="897">
        <v>15000000</v>
      </c>
      <c r="J54" s="898">
        <v>0</v>
      </c>
      <c r="K54" s="896">
        <v>0</v>
      </c>
      <c r="L54" s="897">
        <v>0</v>
      </c>
      <c r="M54" s="898">
        <v>0</v>
      </c>
      <c r="N54" s="896">
        <v>0</v>
      </c>
      <c r="O54" s="897"/>
      <c r="P54" s="901">
        <v>0</v>
      </c>
      <c r="Q54" s="901">
        <v>0</v>
      </c>
      <c r="R54" s="901">
        <v>0</v>
      </c>
    </row>
    <row r="55" spans="1:18">
      <c r="A55" s="891" t="s">
        <v>690</v>
      </c>
      <c r="B55" s="892" t="s">
        <v>691</v>
      </c>
      <c r="C55" s="893" t="s">
        <v>244</v>
      </c>
      <c r="D55" s="894"/>
      <c r="E55" s="894">
        <v>0</v>
      </c>
      <c r="F55" s="894"/>
      <c r="G55" s="895">
        <v>10</v>
      </c>
      <c r="H55" s="896">
        <v>800000</v>
      </c>
      <c r="I55" s="897">
        <v>80000</v>
      </c>
      <c r="J55" s="898">
        <v>10</v>
      </c>
      <c r="K55" s="896">
        <v>800000</v>
      </c>
      <c r="L55" s="897">
        <v>80000</v>
      </c>
      <c r="M55" s="898">
        <v>10</v>
      </c>
      <c r="N55" s="896">
        <v>765600</v>
      </c>
      <c r="O55" s="897">
        <v>0</v>
      </c>
      <c r="P55" s="899">
        <f t="shared" si="0"/>
        <v>0</v>
      </c>
      <c r="Q55" s="899">
        <f t="shared" si="1"/>
        <v>-80000</v>
      </c>
      <c r="R55" s="899">
        <f t="shared" si="2"/>
        <v>-80000</v>
      </c>
    </row>
    <row r="56" spans="1:18" ht="72.75" customHeight="1">
      <c r="A56" s="891" t="s">
        <v>692</v>
      </c>
      <c r="B56" s="892" t="s">
        <v>770</v>
      </c>
      <c r="C56" s="893" t="s">
        <v>244</v>
      </c>
      <c r="D56" s="894"/>
      <c r="E56" s="894">
        <v>0</v>
      </c>
      <c r="F56" s="894"/>
      <c r="G56" s="895">
        <v>1</v>
      </c>
      <c r="H56" s="896">
        <v>20000000</v>
      </c>
      <c r="I56" s="897">
        <v>20000000</v>
      </c>
      <c r="J56" s="898">
        <v>1</v>
      </c>
      <c r="K56" s="896">
        <v>20000000</v>
      </c>
      <c r="L56" s="897">
        <v>20000000</v>
      </c>
      <c r="M56" s="898">
        <v>0</v>
      </c>
      <c r="N56" s="896">
        <v>0</v>
      </c>
      <c r="O56" s="897">
        <v>0</v>
      </c>
      <c r="P56" s="901">
        <v>0</v>
      </c>
      <c r="Q56" s="901">
        <v>0</v>
      </c>
      <c r="R56" s="901">
        <v>0</v>
      </c>
    </row>
    <row r="57" spans="1:18" ht="40.5" customHeight="1">
      <c r="A57" s="891" t="s">
        <v>694</v>
      </c>
      <c r="B57" s="892" t="s">
        <v>695</v>
      </c>
      <c r="C57" s="893" t="s">
        <v>261</v>
      </c>
      <c r="D57" s="894"/>
      <c r="E57" s="894">
        <v>0</v>
      </c>
      <c r="F57" s="894"/>
      <c r="G57" s="895">
        <v>20</v>
      </c>
      <c r="H57" s="896">
        <v>3000000</v>
      </c>
      <c r="I57" s="897">
        <v>150000</v>
      </c>
      <c r="J57" s="898">
        <v>20</v>
      </c>
      <c r="K57" s="896">
        <v>3000000</v>
      </c>
      <c r="L57" s="897">
        <v>150000</v>
      </c>
      <c r="M57" s="898">
        <v>0</v>
      </c>
      <c r="N57" s="896">
        <v>0</v>
      </c>
      <c r="O57" s="897">
        <v>0</v>
      </c>
      <c r="P57" s="901">
        <v>0</v>
      </c>
      <c r="Q57" s="901">
        <v>0</v>
      </c>
      <c r="R57" s="901">
        <v>0</v>
      </c>
    </row>
    <row r="58" spans="1:18" ht="40.5" customHeight="1">
      <c r="A58" s="891" t="s">
        <v>696</v>
      </c>
      <c r="B58" s="892" t="s">
        <v>697</v>
      </c>
      <c r="C58" s="893" t="s">
        <v>244</v>
      </c>
      <c r="D58" s="894"/>
      <c r="E58" s="894">
        <v>0</v>
      </c>
      <c r="F58" s="894"/>
      <c r="G58" s="895">
        <v>30</v>
      </c>
      <c r="H58" s="896">
        <v>800000</v>
      </c>
      <c r="I58" s="897">
        <v>26666.666666666668</v>
      </c>
      <c r="J58" s="898">
        <v>30</v>
      </c>
      <c r="K58" s="896">
        <v>800000</v>
      </c>
      <c r="L58" s="897">
        <v>26666.666666666668</v>
      </c>
      <c r="M58" s="898">
        <v>30</v>
      </c>
      <c r="N58" s="896">
        <v>672384</v>
      </c>
      <c r="O58" s="897">
        <v>0</v>
      </c>
      <c r="P58" s="899">
        <f t="shared" si="0"/>
        <v>0</v>
      </c>
      <c r="Q58" s="899">
        <f t="shared" si="1"/>
        <v>-26666.666666666668</v>
      </c>
      <c r="R58" s="899">
        <f t="shared" si="2"/>
        <v>-26666.666666666668</v>
      </c>
    </row>
    <row r="59" spans="1:18" ht="40.5" customHeight="1">
      <c r="A59" s="891" t="s">
        <v>698</v>
      </c>
      <c r="B59" s="892" t="s">
        <v>699</v>
      </c>
      <c r="C59" s="893" t="s">
        <v>244</v>
      </c>
      <c r="D59" s="894"/>
      <c r="E59" s="894">
        <v>0</v>
      </c>
      <c r="F59" s="894"/>
      <c r="G59" s="895">
        <v>5</v>
      </c>
      <c r="H59" s="896">
        <v>2160000</v>
      </c>
      <c r="I59" s="897">
        <v>432000</v>
      </c>
      <c r="J59" s="898">
        <v>5</v>
      </c>
      <c r="K59" s="896">
        <v>2160000</v>
      </c>
      <c r="L59" s="897">
        <v>432000</v>
      </c>
      <c r="M59" s="898">
        <v>0</v>
      </c>
      <c r="N59" s="896">
        <v>0</v>
      </c>
      <c r="O59" s="897">
        <v>0</v>
      </c>
      <c r="P59" s="901">
        <v>0</v>
      </c>
      <c r="Q59" s="901">
        <v>0</v>
      </c>
      <c r="R59" s="901">
        <v>0</v>
      </c>
    </row>
    <row r="60" spans="1:18" ht="40.5" customHeight="1">
      <c r="A60" s="891" t="s">
        <v>700</v>
      </c>
      <c r="B60" s="892" t="s">
        <v>701</v>
      </c>
      <c r="C60" s="893" t="s">
        <v>244</v>
      </c>
      <c r="D60" s="894"/>
      <c r="E60" s="894">
        <v>0</v>
      </c>
      <c r="F60" s="894"/>
      <c r="G60" s="895">
        <v>60</v>
      </c>
      <c r="H60" s="896">
        <v>7813000</v>
      </c>
      <c r="I60" s="897">
        <v>130216.66666666667</v>
      </c>
      <c r="J60" s="898">
        <v>60</v>
      </c>
      <c r="K60" s="896">
        <v>7813000</v>
      </c>
      <c r="L60" s="897">
        <v>130216.66666666667</v>
      </c>
      <c r="M60" s="898">
        <v>0</v>
      </c>
      <c r="N60" s="896">
        <v>0</v>
      </c>
      <c r="O60" s="897">
        <v>0</v>
      </c>
      <c r="P60" s="901">
        <v>0</v>
      </c>
      <c r="Q60" s="901">
        <v>0</v>
      </c>
      <c r="R60" s="901">
        <v>0</v>
      </c>
    </row>
    <row r="61" spans="1:18" ht="40.5" customHeight="1">
      <c r="A61" s="891" t="s">
        <v>708</v>
      </c>
      <c r="B61" s="892" t="s">
        <v>771</v>
      </c>
      <c r="C61" s="893" t="s">
        <v>237</v>
      </c>
      <c r="D61" s="894"/>
      <c r="E61" s="894">
        <v>0</v>
      </c>
      <c r="F61" s="894"/>
      <c r="G61" s="895">
        <v>150</v>
      </c>
      <c r="H61" s="896">
        <v>5200000</v>
      </c>
      <c r="I61" s="897">
        <v>34666.666666666664</v>
      </c>
      <c r="J61" s="898">
        <v>1050</v>
      </c>
      <c r="K61" s="896">
        <v>33157076</v>
      </c>
      <c r="L61" s="897">
        <v>31578.167619047617</v>
      </c>
      <c r="M61" s="898">
        <v>800</v>
      </c>
      <c r="N61" s="896">
        <v>30706600</v>
      </c>
      <c r="O61" s="897">
        <v>0</v>
      </c>
      <c r="P61" s="901">
        <v>0</v>
      </c>
      <c r="Q61" s="901">
        <v>0</v>
      </c>
      <c r="R61" s="901">
        <v>0</v>
      </c>
    </row>
    <row r="62" spans="1:18" ht="39.75" customHeight="1">
      <c r="A62" s="891" t="s">
        <v>712</v>
      </c>
      <c r="B62" s="892" t="s">
        <v>713</v>
      </c>
      <c r="C62" s="893" t="s">
        <v>244</v>
      </c>
      <c r="D62" s="894"/>
      <c r="E62" s="894">
        <v>0</v>
      </c>
      <c r="F62" s="894"/>
      <c r="G62" s="895">
        <v>50</v>
      </c>
      <c r="H62" s="896">
        <v>5173000</v>
      </c>
      <c r="I62" s="897">
        <v>103460</v>
      </c>
      <c r="J62" s="898">
        <v>70</v>
      </c>
      <c r="K62" s="896">
        <v>7153200</v>
      </c>
      <c r="L62" s="897">
        <v>102188.57142857143</v>
      </c>
      <c r="M62" s="898">
        <v>70</v>
      </c>
      <c r="N62" s="896">
        <v>7153200</v>
      </c>
      <c r="O62" s="897">
        <v>102188.57142857143</v>
      </c>
      <c r="P62" s="899">
        <f t="shared" si="0"/>
        <v>102188.57142857143</v>
      </c>
      <c r="Q62" s="899">
        <f t="shared" si="1"/>
        <v>-1271.4285714285652</v>
      </c>
      <c r="R62" s="899">
        <f t="shared" si="2"/>
        <v>0</v>
      </c>
    </row>
    <row r="63" spans="1:18" ht="39.75" customHeight="1">
      <c r="A63" s="891" t="s">
        <v>714</v>
      </c>
      <c r="B63" s="892" t="s">
        <v>772</v>
      </c>
      <c r="C63" s="893" t="s">
        <v>237</v>
      </c>
      <c r="D63" s="894">
        <v>2130</v>
      </c>
      <c r="E63" s="894">
        <v>70000000</v>
      </c>
      <c r="F63" s="894">
        <v>32864</v>
      </c>
      <c r="G63" s="895">
        <v>5500</v>
      </c>
      <c r="H63" s="896">
        <v>62682000</v>
      </c>
      <c r="I63" s="897">
        <v>11396.727272727272</v>
      </c>
      <c r="J63" s="898">
        <v>12000</v>
      </c>
      <c r="K63" s="896">
        <v>138073075</v>
      </c>
      <c r="L63" s="897">
        <v>11506.089583333332</v>
      </c>
      <c r="M63" s="898">
        <v>10000</v>
      </c>
      <c r="N63" s="896">
        <v>131392262</v>
      </c>
      <c r="O63" s="897">
        <v>13139.226199999999</v>
      </c>
      <c r="P63" s="899">
        <f t="shared" si="0"/>
        <v>-19724.773800000003</v>
      </c>
      <c r="Q63" s="899">
        <f t="shared" si="1"/>
        <v>1742.4989272727271</v>
      </c>
      <c r="R63" s="899">
        <f t="shared" si="2"/>
        <v>1633.1366166666667</v>
      </c>
    </row>
    <row r="64" spans="1:18" ht="39.75" customHeight="1">
      <c r="A64" s="891" t="s">
        <v>722</v>
      </c>
      <c r="B64" s="892" t="s">
        <v>773</v>
      </c>
      <c r="C64" s="893" t="s">
        <v>244</v>
      </c>
      <c r="D64" s="894"/>
      <c r="E64" s="894">
        <v>0</v>
      </c>
      <c r="F64" s="894"/>
      <c r="G64" s="895">
        <v>1</v>
      </c>
      <c r="H64" s="896">
        <v>1000000</v>
      </c>
      <c r="I64" s="897">
        <v>1000000</v>
      </c>
      <c r="J64" s="898">
        <v>1</v>
      </c>
      <c r="K64" s="896">
        <v>1000000</v>
      </c>
      <c r="L64" s="897">
        <v>1000000</v>
      </c>
      <c r="M64" s="898">
        <v>0</v>
      </c>
      <c r="N64" s="896">
        <v>0</v>
      </c>
      <c r="O64" s="897">
        <v>0</v>
      </c>
      <c r="P64" s="901">
        <v>0</v>
      </c>
      <c r="Q64" s="901">
        <v>0</v>
      </c>
      <c r="R64" s="901">
        <v>0</v>
      </c>
    </row>
    <row r="65" spans="1:18" ht="39.75" customHeight="1">
      <c r="A65" s="891" t="s">
        <v>726</v>
      </c>
      <c r="B65" s="892" t="s">
        <v>727</v>
      </c>
      <c r="C65" s="893" t="s">
        <v>237</v>
      </c>
      <c r="D65" s="894"/>
      <c r="E65" s="894"/>
      <c r="F65" s="894"/>
      <c r="G65" s="895">
        <v>1</v>
      </c>
      <c r="H65" s="896">
        <v>500000</v>
      </c>
      <c r="I65" s="897">
        <v>500000</v>
      </c>
      <c r="J65" s="898">
        <v>1</v>
      </c>
      <c r="K65" s="896"/>
      <c r="L65" s="897">
        <v>0</v>
      </c>
      <c r="M65" s="898"/>
      <c r="N65" s="896"/>
      <c r="O65" s="897">
        <v>0</v>
      </c>
      <c r="P65" s="901">
        <v>0</v>
      </c>
      <c r="Q65" s="901">
        <v>0</v>
      </c>
      <c r="R65" s="901">
        <v>0</v>
      </c>
    </row>
    <row r="66" spans="1:18" ht="39.75" customHeight="1">
      <c r="A66" s="891" t="s">
        <v>728</v>
      </c>
      <c r="B66" s="892" t="s">
        <v>729</v>
      </c>
      <c r="C66" s="893" t="s">
        <v>237</v>
      </c>
      <c r="D66" s="894"/>
      <c r="E66" s="894"/>
      <c r="F66" s="894"/>
      <c r="G66" s="895">
        <v>1200</v>
      </c>
      <c r="H66" s="896">
        <v>20000000</v>
      </c>
      <c r="I66" s="897">
        <v>16666.666666666668</v>
      </c>
      <c r="J66" s="898">
        <v>1200</v>
      </c>
      <c r="K66" s="896">
        <v>20000000</v>
      </c>
      <c r="L66" s="897">
        <v>16666.666666666668</v>
      </c>
      <c r="M66" s="905">
        <v>1200</v>
      </c>
      <c r="N66" s="896">
        <v>19947637</v>
      </c>
      <c r="O66" s="897">
        <v>16623.030833333334</v>
      </c>
      <c r="P66" s="899">
        <f t="shared" si="0"/>
        <v>16623.030833333334</v>
      </c>
      <c r="Q66" s="899">
        <f t="shared" si="1"/>
        <v>-43.635833333333721</v>
      </c>
      <c r="R66" s="899">
        <f t="shared" si="2"/>
        <v>-43.635833333333721</v>
      </c>
    </row>
    <row r="67" spans="1:18" ht="36.75" customHeight="1">
      <c r="A67" s="891" t="s">
        <v>730</v>
      </c>
      <c r="B67" s="892" t="s">
        <v>731</v>
      </c>
      <c r="C67" s="893" t="s">
        <v>237</v>
      </c>
      <c r="D67" s="894"/>
      <c r="E67" s="894"/>
      <c r="F67" s="894"/>
      <c r="G67" s="895">
        <v>3000</v>
      </c>
      <c r="H67" s="896">
        <v>20000000</v>
      </c>
      <c r="I67" s="897">
        <v>6666.666666666667</v>
      </c>
      <c r="J67" s="898">
        <v>0</v>
      </c>
      <c r="K67" s="896">
        <v>0</v>
      </c>
      <c r="L67" s="897">
        <v>0</v>
      </c>
      <c r="M67" s="898"/>
      <c r="N67" s="896"/>
      <c r="O67" s="897">
        <v>0</v>
      </c>
      <c r="P67" s="901">
        <v>0</v>
      </c>
      <c r="Q67" s="901">
        <v>0</v>
      </c>
      <c r="R67" s="901">
        <v>0</v>
      </c>
    </row>
    <row r="68" spans="1:18" ht="36.75" customHeight="1">
      <c r="A68" s="891" t="s">
        <v>732</v>
      </c>
      <c r="B68" s="892" t="s">
        <v>733</v>
      </c>
      <c r="C68" s="893" t="s">
        <v>244</v>
      </c>
      <c r="D68" s="894"/>
      <c r="E68" s="894"/>
      <c r="F68" s="894"/>
      <c r="G68" s="895">
        <v>2000</v>
      </c>
      <c r="H68" s="896">
        <v>60000000</v>
      </c>
      <c r="I68" s="897">
        <v>30000</v>
      </c>
      <c r="J68" s="898">
        <v>650</v>
      </c>
      <c r="K68" s="896">
        <v>21600000</v>
      </c>
      <c r="L68" s="897">
        <v>33230.769230769234</v>
      </c>
      <c r="M68" s="898">
        <v>638</v>
      </c>
      <c r="N68" s="896">
        <v>21392400</v>
      </c>
      <c r="O68" s="897">
        <v>0</v>
      </c>
      <c r="P68" s="901">
        <v>0</v>
      </c>
      <c r="Q68" s="901">
        <v>0</v>
      </c>
      <c r="R68" s="901">
        <v>0</v>
      </c>
    </row>
    <row r="69" spans="1:18" ht="36.75" customHeight="1">
      <c r="A69" s="891" t="s">
        <v>734</v>
      </c>
      <c r="B69" s="892" t="s">
        <v>735</v>
      </c>
      <c r="C69" s="893" t="s">
        <v>244</v>
      </c>
      <c r="D69" s="894"/>
      <c r="E69" s="894"/>
      <c r="F69" s="894"/>
      <c r="G69" s="895"/>
      <c r="H69" s="896">
        <v>31286000</v>
      </c>
      <c r="I69" s="897"/>
      <c r="J69" s="898">
        <v>1</v>
      </c>
      <c r="K69" s="896"/>
      <c r="L69" s="897">
        <v>0</v>
      </c>
      <c r="M69" s="898"/>
      <c r="N69" s="896"/>
      <c r="O69" s="897">
        <v>0</v>
      </c>
      <c r="P69" s="901">
        <v>0</v>
      </c>
      <c r="Q69" s="901">
        <v>0</v>
      </c>
      <c r="R69" s="901">
        <v>0</v>
      </c>
    </row>
    <row r="70" spans="1:18" ht="18.75" customHeight="1">
      <c r="A70" s="891" t="s">
        <v>736</v>
      </c>
      <c r="B70" s="892" t="s">
        <v>737</v>
      </c>
      <c r="C70" s="893"/>
      <c r="D70" s="894"/>
      <c r="E70" s="894"/>
      <c r="F70" s="894"/>
      <c r="G70" s="895"/>
      <c r="H70" s="896"/>
      <c r="I70" s="897"/>
      <c r="J70" s="898">
        <v>1</v>
      </c>
      <c r="K70" s="896"/>
      <c r="L70" s="897">
        <v>0</v>
      </c>
      <c r="M70" s="898"/>
      <c r="N70" s="896"/>
      <c r="O70" s="897">
        <v>0</v>
      </c>
      <c r="P70" s="901">
        <v>0</v>
      </c>
      <c r="Q70" s="901">
        <v>0</v>
      </c>
      <c r="R70" s="901">
        <v>0</v>
      </c>
    </row>
    <row r="71" spans="1:18" ht="18.75" customHeight="1">
      <c r="A71" s="891" t="s">
        <v>738</v>
      </c>
      <c r="B71" s="892" t="s">
        <v>739</v>
      </c>
      <c r="C71" s="893"/>
      <c r="D71" s="894"/>
      <c r="E71" s="894"/>
      <c r="F71" s="894"/>
      <c r="G71" s="895"/>
      <c r="H71" s="896"/>
      <c r="I71" s="897"/>
      <c r="J71" s="898">
        <v>1</v>
      </c>
      <c r="K71" s="896">
        <v>7100000</v>
      </c>
      <c r="L71" s="897">
        <v>7100000</v>
      </c>
      <c r="M71" s="898"/>
      <c r="N71" s="896"/>
      <c r="O71" s="897">
        <v>0</v>
      </c>
      <c r="P71" s="901">
        <v>0</v>
      </c>
      <c r="Q71" s="901">
        <v>0</v>
      </c>
      <c r="R71" s="901">
        <v>0</v>
      </c>
    </row>
    <row r="72" spans="1:18" ht="18.75" customHeight="1">
      <c r="A72" s="891" t="s">
        <v>741</v>
      </c>
      <c r="B72" s="892" t="s">
        <v>742</v>
      </c>
      <c r="C72" s="893"/>
      <c r="D72" s="894"/>
      <c r="E72" s="894"/>
      <c r="F72" s="894"/>
      <c r="G72" s="895">
        <v>1</v>
      </c>
      <c r="H72" s="896">
        <v>7000000</v>
      </c>
      <c r="I72" s="897">
        <v>7000000</v>
      </c>
      <c r="J72" s="898">
        <v>1</v>
      </c>
      <c r="K72" s="896">
        <v>7000000</v>
      </c>
      <c r="L72" s="897">
        <v>7000000</v>
      </c>
      <c r="M72" s="898"/>
      <c r="N72" s="896"/>
      <c r="O72" s="897">
        <v>0</v>
      </c>
      <c r="P72" s="901">
        <v>0</v>
      </c>
      <c r="Q72" s="901">
        <v>0</v>
      </c>
      <c r="R72" s="901">
        <v>0</v>
      </c>
    </row>
    <row r="73" spans="1:18" ht="18.75" customHeight="1">
      <c r="A73" s="891" t="s">
        <v>734</v>
      </c>
      <c r="B73" s="892" t="s">
        <v>740</v>
      </c>
      <c r="C73" s="893" t="s">
        <v>244</v>
      </c>
      <c r="D73" s="894"/>
      <c r="E73" s="894">
        <v>48347047</v>
      </c>
      <c r="F73" s="894"/>
      <c r="G73" s="895">
        <v>60</v>
      </c>
      <c r="H73" s="896">
        <v>12204000</v>
      </c>
      <c r="I73" s="897">
        <v>203400</v>
      </c>
      <c r="J73" s="898">
        <v>600</v>
      </c>
      <c r="K73" s="896">
        <v>136837000</v>
      </c>
      <c r="L73" s="897">
        <v>228061.66666666666</v>
      </c>
      <c r="M73" s="902">
        <v>556</v>
      </c>
      <c r="N73" s="896">
        <v>126768609</v>
      </c>
      <c r="O73" s="897">
        <v>228001.095323741</v>
      </c>
      <c r="P73" s="899">
        <f t="shared" si="0"/>
        <v>228001.095323741</v>
      </c>
      <c r="Q73" s="899">
        <f t="shared" si="1"/>
        <v>24601.095323740999</v>
      </c>
      <c r="R73" s="899">
        <f t="shared" si="2"/>
        <v>-60.571342925657518</v>
      </c>
    </row>
    <row r="74" spans="1:18" ht="36.75" customHeight="1">
      <c r="A74" s="891" t="s">
        <v>774</v>
      </c>
      <c r="B74" s="892" t="s">
        <v>775</v>
      </c>
      <c r="C74" s="893" t="s">
        <v>237</v>
      </c>
      <c r="D74" s="894"/>
      <c r="E74" s="894"/>
      <c r="F74" s="894"/>
      <c r="G74" s="895"/>
      <c r="H74" s="896"/>
      <c r="I74" s="897"/>
      <c r="J74" s="898">
        <v>150</v>
      </c>
      <c r="K74" s="896">
        <v>3000000</v>
      </c>
      <c r="L74" s="897">
        <v>3000000</v>
      </c>
      <c r="M74" s="906"/>
      <c r="N74" s="896"/>
      <c r="O74" s="897">
        <v>0</v>
      </c>
      <c r="P74" s="901">
        <v>0</v>
      </c>
      <c r="Q74" s="901">
        <v>0</v>
      </c>
      <c r="R74" s="901">
        <v>0</v>
      </c>
    </row>
    <row r="75" spans="1:18" ht="19.5" customHeight="1">
      <c r="A75" s="891" t="s">
        <v>288</v>
      </c>
      <c r="B75" s="892" t="s">
        <v>289</v>
      </c>
      <c r="C75" s="893" t="s">
        <v>776</v>
      </c>
      <c r="D75" s="894"/>
      <c r="E75" s="894">
        <v>0</v>
      </c>
      <c r="F75" s="894"/>
      <c r="G75" s="895">
        <v>2</v>
      </c>
      <c r="H75" s="896">
        <v>5000000</v>
      </c>
      <c r="I75" s="897">
        <v>2500000</v>
      </c>
      <c r="J75" s="898">
        <v>3</v>
      </c>
      <c r="K75" s="896">
        <v>10000000</v>
      </c>
      <c r="L75" s="897">
        <v>3333333.3333333335</v>
      </c>
      <c r="M75" s="907">
        <v>3</v>
      </c>
      <c r="N75" s="896">
        <v>7294687</v>
      </c>
      <c r="O75" s="897">
        <v>2431562.3333333335</v>
      </c>
      <c r="P75" s="899">
        <f t="shared" si="0"/>
        <v>2431562.3333333335</v>
      </c>
      <c r="Q75" s="899">
        <f t="shared" si="1"/>
        <v>-68437.666666666511</v>
      </c>
      <c r="R75" s="899">
        <f t="shared" si="2"/>
        <v>-901771</v>
      </c>
    </row>
    <row r="76" spans="1:18" ht="19.5" customHeight="1">
      <c r="A76" s="891" t="s">
        <v>702</v>
      </c>
      <c r="B76" s="892" t="s">
        <v>704</v>
      </c>
      <c r="C76" s="893" t="s">
        <v>244</v>
      </c>
      <c r="D76" s="894"/>
      <c r="E76" s="894">
        <v>0</v>
      </c>
      <c r="F76" s="894"/>
      <c r="G76" s="895"/>
      <c r="H76" s="896"/>
      <c r="I76" s="897">
        <v>0</v>
      </c>
      <c r="J76" s="898">
        <v>10</v>
      </c>
      <c r="K76" s="896">
        <v>495000</v>
      </c>
      <c r="L76" s="897">
        <v>49500</v>
      </c>
      <c r="M76" s="907">
        <v>0</v>
      </c>
      <c r="N76" s="896">
        <v>0</v>
      </c>
      <c r="O76" s="897"/>
      <c r="P76" s="901">
        <v>0</v>
      </c>
      <c r="Q76" s="901">
        <v>0</v>
      </c>
      <c r="R76" s="901">
        <v>0</v>
      </c>
    </row>
    <row r="77" spans="1:18" ht="19.5" customHeight="1">
      <c r="A77" s="891" t="s">
        <v>702</v>
      </c>
      <c r="B77" s="892" t="s">
        <v>777</v>
      </c>
      <c r="C77" s="893" t="s">
        <v>244</v>
      </c>
      <c r="D77" s="894"/>
      <c r="E77" s="894">
        <v>0</v>
      </c>
      <c r="F77" s="894"/>
      <c r="G77" s="895"/>
      <c r="H77" s="896"/>
      <c r="I77" s="897">
        <v>0</v>
      </c>
      <c r="J77" s="898">
        <v>19</v>
      </c>
      <c r="K77" s="896">
        <v>380000</v>
      </c>
      <c r="L77" s="897">
        <v>20000</v>
      </c>
      <c r="M77" s="907">
        <v>19</v>
      </c>
      <c r="N77" s="896">
        <v>356400</v>
      </c>
      <c r="O77" s="897"/>
      <c r="P77" s="899">
        <f t="shared" ref="P77" si="3">O77-F77</f>
        <v>0</v>
      </c>
      <c r="Q77" s="899">
        <f t="shared" ref="Q77" si="4">O77-I77</f>
        <v>0</v>
      </c>
      <c r="R77" s="899">
        <f t="shared" ref="R77" si="5">O77-L77</f>
        <v>-20000</v>
      </c>
    </row>
    <row r="78" spans="1:18" ht="19.5" customHeight="1">
      <c r="A78" s="891" t="s">
        <v>702</v>
      </c>
      <c r="B78" s="892" t="s">
        <v>705</v>
      </c>
      <c r="C78" s="893" t="s">
        <v>244</v>
      </c>
      <c r="D78" s="894"/>
      <c r="E78" s="894">
        <v>0</v>
      </c>
      <c r="F78" s="894"/>
      <c r="G78" s="895"/>
      <c r="H78" s="896"/>
      <c r="I78" s="897">
        <v>0</v>
      </c>
      <c r="J78" s="898">
        <v>19</v>
      </c>
      <c r="K78" s="896">
        <v>180000</v>
      </c>
      <c r="L78" s="897">
        <v>9473.6842105263149</v>
      </c>
      <c r="M78" s="907">
        <v>0</v>
      </c>
      <c r="N78" s="896">
        <v>0</v>
      </c>
      <c r="O78" s="897"/>
      <c r="P78" s="901">
        <v>0</v>
      </c>
      <c r="Q78" s="901">
        <v>0</v>
      </c>
      <c r="R78" s="901">
        <v>0</v>
      </c>
    </row>
    <row r="79" spans="1:18" ht="66" customHeight="1">
      <c r="A79" s="891" t="s">
        <v>724</v>
      </c>
      <c r="B79" s="892" t="s">
        <v>725</v>
      </c>
      <c r="C79" s="893" t="s">
        <v>287</v>
      </c>
      <c r="D79" s="894"/>
      <c r="E79" s="894">
        <v>0</v>
      </c>
      <c r="F79" s="894"/>
      <c r="G79" s="895">
        <v>2</v>
      </c>
      <c r="H79" s="896">
        <v>20000000</v>
      </c>
      <c r="I79" s="897">
        <v>10000000</v>
      </c>
      <c r="J79" s="898">
        <v>2</v>
      </c>
      <c r="K79" s="896">
        <v>20000000</v>
      </c>
      <c r="L79" s="897">
        <v>10000000</v>
      </c>
      <c r="M79" s="907">
        <v>0</v>
      </c>
      <c r="N79" s="896"/>
      <c r="O79" s="897"/>
      <c r="P79" s="901">
        <v>0</v>
      </c>
      <c r="Q79" s="901">
        <v>0</v>
      </c>
      <c r="R79" s="901">
        <v>0</v>
      </c>
    </row>
    <row r="80" spans="1:18">
      <c r="A80" s="891"/>
      <c r="B80" s="892"/>
      <c r="C80" s="893"/>
      <c r="D80" s="894"/>
      <c r="E80" s="894"/>
      <c r="F80" s="894"/>
      <c r="G80" s="895"/>
      <c r="H80" s="896"/>
      <c r="I80" s="897"/>
      <c r="J80" s="898"/>
      <c r="K80" s="896"/>
      <c r="L80" s="897"/>
      <c r="M80" s="907"/>
      <c r="N80" s="896"/>
      <c r="O80" s="897"/>
      <c r="P80" s="901">
        <v>0</v>
      </c>
      <c r="Q80" s="901">
        <v>0</v>
      </c>
      <c r="R80" s="901">
        <v>0</v>
      </c>
    </row>
    <row r="81" spans="1:18">
      <c r="A81" s="891"/>
      <c r="B81" s="892"/>
      <c r="C81" s="893"/>
      <c r="D81" s="894"/>
      <c r="E81" s="894"/>
      <c r="F81" s="894"/>
      <c r="G81" s="895"/>
      <c r="H81" s="896"/>
      <c r="I81" s="896"/>
      <c r="J81" s="898"/>
      <c r="K81" s="896"/>
      <c r="L81" s="897"/>
      <c r="M81" s="907"/>
      <c r="N81" s="896"/>
      <c r="O81" s="897"/>
      <c r="P81" s="901">
        <v>0</v>
      </c>
      <c r="Q81" s="901">
        <v>0</v>
      </c>
      <c r="R81" s="901">
        <v>0</v>
      </c>
    </row>
    <row r="82" spans="1:18">
      <c r="A82" s="891"/>
      <c r="B82" s="892"/>
      <c r="C82" s="893"/>
      <c r="D82" s="894"/>
      <c r="E82" s="894"/>
      <c r="F82" s="894"/>
      <c r="G82" s="895"/>
      <c r="H82" s="896"/>
      <c r="I82" s="897"/>
      <c r="J82" s="898"/>
      <c r="K82" s="896"/>
      <c r="L82" s="897"/>
      <c r="M82" s="907"/>
      <c r="N82" s="896"/>
      <c r="O82" s="897"/>
      <c r="P82" s="901">
        <v>0</v>
      </c>
      <c r="Q82" s="901">
        <v>0</v>
      </c>
      <c r="R82" s="901">
        <v>0</v>
      </c>
    </row>
    <row r="83" spans="1:18">
      <c r="A83" s="891" t="s">
        <v>175</v>
      </c>
      <c r="B83" s="892" t="s">
        <v>68</v>
      </c>
      <c r="C83" s="893"/>
      <c r="D83" s="894"/>
      <c r="E83" s="894">
        <v>6750458685.1599998</v>
      </c>
      <c r="F83" s="894"/>
      <c r="G83" s="895">
        <v>1</v>
      </c>
      <c r="H83" s="896">
        <v>8313436000</v>
      </c>
      <c r="I83" s="897">
        <v>8313436000</v>
      </c>
      <c r="J83" s="898">
        <v>1</v>
      </c>
      <c r="K83" s="896">
        <v>9978226126</v>
      </c>
      <c r="L83" s="908">
        <v>9978226126</v>
      </c>
      <c r="M83" s="906">
        <v>0.96505416868721705</v>
      </c>
      <c r="N83" s="896">
        <v>9629528719</v>
      </c>
      <c r="O83" s="896">
        <v>71837269.115102142</v>
      </c>
      <c r="P83" s="899"/>
      <c r="Q83" s="899"/>
      <c r="R83" s="899"/>
    </row>
    <row r="84" spans="1:18">
      <c r="A84" s="1346" t="s">
        <v>176</v>
      </c>
      <c r="B84" s="1346"/>
      <c r="C84" s="888"/>
      <c r="D84" s="889"/>
      <c r="E84" s="889"/>
      <c r="F84" s="889"/>
      <c r="G84" s="889"/>
      <c r="H84" s="890"/>
      <c r="I84" s="897"/>
      <c r="J84" s="890"/>
      <c r="K84" s="909"/>
      <c r="L84" s="897"/>
      <c r="M84" s="890"/>
      <c r="N84" s="890"/>
      <c r="O84" s="897"/>
      <c r="P84" s="899"/>
      <c r="Q84" s="899"/>
      <c r="R84" s="899"/>
    </row>
    <row r="85" spans="1:18" ht="78.75">
      <c r="A85" s="910" t="s">
        <v>363</v>
      </c>
      <c r="B85" s="911" t="s">
        <v>364</v>
      </c>
      <c r="C85" s="912"/>
      <c r="D85" s="913"/>
      <c r="E85" s="914"/>
      <c r="F85" s="913"/>
      <c r="G85" s="913"/>
      <c r="H85" s="915"/>
      <c r="I85" s="897"/>
      <c r="J85" s="916"/>
      <c r="K85" s="915"/>
      <c r="L85" s="897"/>
      <c r="M85" s="916"/>
      <c r="N85" s="915"/>
      <c r="O85" s="897"/>
      <c r="P85" s="899"/>
      <c r="Q85" s="899"/>
      <c r="R85" s="899"/>
    </row>
    <row r="86" spans="1:18" ht="12" thickBot="1">
      <c r="A86" s="910" t="s">
        <v>175</v>
      </c>
      <c r="B86" s="911" t="s">
        <v>68</v>
      </c>
      <c r="C86" s="912"/>
      <c r="D86" s="913"/>
      <c r="E86" s="914">
        <v>13467399</v>
      </c>
      <c r="F86" s="913"/>
      <c r="G86" s="913"/>
      <c r="H86" s="915">
        <v>8329735570</v>
      </c>
      <c r="I86" s="917">
        <f>I83</f>
        <v>8313436000</v>
      </c>
      <c r="J86" s="915"/>
      <c r="K86" s="915">
        <v>9994525696</v>
      </c>
      <c r="L86" s="917">
        <f>L83</f>
        <v>9978226126</v>
      </c>
      <c r="M86" s="915"/>
      <c r="N86" s="917">
        <v>9629528719</v>
      </c>
      <c r="O86" s="915">
        <v>71837269.115102142</v>
      </c>
      <c r="P86" s="899"/>
      <c r="Q86" s="899"/>
      <c r="R86" s="899"/>
    </row>
    <row r="87" spans="1:18" ht="12" thickTop="1">
      <c r="A87" s="1348"/>
      <c r="B87" s="1348"/>
      <c r="C87" s="1348"/>
      <c r="D87" s="1349"/>
      <c r="E87" s="1349"/>
      <c r="F87" s="1349"/>
      <c r="G87" s="1349"/>
      <c r="H87" s="1349"/>
      <c r="I87" s="1349"/>
      <c r="J87" s="1349"/>
      <c r="K87" s="1349"/>
      <c r="L87" s="1349"/>
      <c r="M87" s="1349"/>
      <c r="N87" s="1349"/>
      <c r="O87" s="1349"/>
      <c r="P87" s="1349"/>
      <c r="Q87" s="1349"/>
      <c r="R87" s="1349"/>
    </row>
  </sheetData>
  <mergeCells count="18">
    <mergeCell ref="A10:B10"/>
    <mergeCell ref="B6:D6"/>
    <mergeCell ref="A84:B84"/>
    <mergeCell ref="A87:R87"/>
    <mergeCell ref="F6:R6"/>
    <mergeCell ref="A7:A8"/>
    <mergeCell ref="B7:B8"/>
    <mergeCell ref="C7:C8"/>
    <mergeCell ref="D7:F7"/>
    <mergeCell ref="G7:I7"/>
    <mergeCell ref="J7:L7"/>
    <mergeCell ref="M7:O7"/>
    <mergeCell ref="P7:R7"/>
    <mergeCell ref="A2:R2"/>
    <mergeCell ref="A3:R3"/>
    <mergeCell ref="A4:R4"/>
    <mergeCell ref="B5:D5"/>
    <mergeCell ref="F5:R5"/>
  </mergeCells>
  <pageMargins left="0.21" right="0.15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30"/>
  <sheetViews>
    <sheetView workbookViewId="0">
      <pane xSplit="6" ySplit="9" topLeftCell="G23" activePane="bottomRight" state="frozen"/>
      <selection pane="topRight" activeCell="G1" sqref="G1"/>
      <selection pane="bottomLeft" activeCell="A10" sqref="A10"/>
      <selection pane="bottomRight" activeCell="P33" sqref="P33"/>
    </sheetView>
  </sheetViews>
  <sheetFormatPr defaultRowHeight="15"/>
  <cols>
    <col min="1" max="1" width="3.28515625" style="91" customWidth="1"/>
    <col min="2" max="2" width="6.42578125" style="91" customWidth="1"/>
    <col min="3" max="3" width="10.140625" style="91" customWidth="1"/>
    <col min="4" max="4" width="6" style="91" customWidth="1"/>
    <col min="5" max="5" width="5.85546875" style="91" customWidth="1"/>
    <col min="6" max="6" width="12" style="91" customWidth="1"/>
    <col min="7" max="7" width="8.42578125" style="91" customWidth="1"/>
    <col min="8" max="8" width="6.28515625" style="91" customWidth="1"/>
    <col min="9" max="9" width="14.7109375" style="91" customWidth="1"/>
    <col min="10" max="10" width="10" style="91" customWidth="1"/>
    <col min="11" max="11" width="5.28515625" style="91" customWidth="1"/>
    <col min="12" max="12" width="13.140625" style="91" customWidth="1"/>
    <col min="13" max="13" width="11.7109375" style="91" customWidth="1"/>
    <col min="14" max="14" width="5.85546875" style="91" customWidth="1"/>
    <col min="15" max="16" width="12.7109375" style="91" customWidth="1"/>
    <col min="17" max="17" width="9.5703125" style="91" customWidth="1"/>
    <col min="18" max="18" width="10.7109375" style="91" customWidth="1"/>
    <col min="19" max="19" width="9.85546875" style="91" customWidth="1"/>
    <col min="20" max="256" width="9.140625" style="91"/>
    <col min="257" max="257" width="3.28515625" style="91" customWidth="1"/>
    <col min="258" max="258" width="6.42578125" style="91" customWidth="1"/>
    <col min="259" max="259" width="10.140625" style="91" customWidth="1"/>
    <col min="260" max="260" width="6" style="91" customWidth="1"/>
    <col min="261" max="261" width="5.85546875" style="91" customWidth="1"/>
    <col min="262" max="262" width="12" style="91" customWidth="1"/>
    <col min="263" max="263" width="8.42578125" style="91" customWidth="1"/>
    <col min="264" max="264" width="6.28515625" style="91" customWidth="1"/>
    <col min="265" max="265" width="11.5703125" style="91" customWidth="1"/>
    <col min="266" max="266" width="10" style="91" customWidth="1"/>
    <col min="267" max="267" width="5.28515625" style="91" customWidth="1"/>
    <col min="268" max="268" width="10.5703125" style="91" customWidth="1"/>
    <col min="269" max="269" width="11.7109375" style="91" customWidth="1"/>
    <col min="270" max="270" width="5.85546875" style="91" customWidth="1"/>
    <col min="271" max="271" width="10.7109375" style="91" customWidth="1"/>
    <col min="272" max="272" width="12.7109375" style="91" customWidth="1"/>
    <col min="273" max="273" width="9.5703125" style="91" customWidth="1"/>
    <col min="274" max="274" width="10.7109375" style="91" customWidth="1"/>
    <col min="275" max="275" width="9.85546875" style="91" customWidth="1"/>
    <col min="276" max="512" width="9.140625" style="91"/>
    <col min="513" max="513" width="3.28515625" style="91" customWidth="1"/>
    <col min="514" max="514" width="6.42578125" style="91" customWidth="1"/>
    <col min="515" max="515" width="10.140625" style="91" customWidth="1"/>
    <col min="516" max="516" width="6" style="91" customWidth="1"/>
    <col min="517" max="517" width="5.85546875" style="91" customWidth="1"/>
    <col min="518" max="518" width="12" style="91" customWidth="1"/>
    <col min="519" max="519" width="8.42578125" style="91" customWidth="1"/>
    <col min="520" max="520" width="6.28515625" style="91" customWidth="1"/>
    <col min="521" max="521" width="11.5703125" style="91" customWidth="1"/>
    <col min="522" max="522" width="10" style="91" customWidth="1"/>
    <col min="523" max="523" width="5.28515625" style="91" customWidth="1"/>
    <col min="524" max="524" width="10.5703125" style="91" customWidth="1"/>
    <col min="525" max="525" width="11.7109375" style="91" customWidth="1"/>
    <col min="526" max="526" width="5.85546875" style="91" customWidth="1"/>
    <col min="527" max="527" width="10.7109375" style="91" customWidth="1"/>
    <col min="528" max="528" width="12.7109375" style="91" customWidth="1"/>
    <col min="529" max="529" width="9.5703125" style="91" customWidth="1"/>
    <col min="530" max="530" width="10.7109375" style="91" customWidth="1"/>
    <col min="531" max="531" width="9.85546875" style="91" customWidth="1"/>
    <col min="532" max="768" width="9.140625" style="91"/>
    <col min="769" max="769" width="3.28515625" style="91" customWidth="1"/>
    <col min="770" max="770" width="6.42578125" style="91" customWidth="1"/>
    <col min="771" max="771" width="10.140625" style="91" customWidth="1"/>
    <col min="772" max="772" width="6" style="91" customWidth="1"/>
    <col min="773" max="773" width="5.85546875" style="91" customWidth="1"/>
    <col min="774" max="774" width="12" style="91" customWidth="1"/>
    <col min="775" max="775" width="8.42578125" style="91" customWidth="1"/>
    <col min="776" max="776" width="6.28515625" style="91" customWidth="1"/>
    <col min="777" max="777" width="11.5703125" style="91" customWidth="1"/>
    <col min="778" max="778" width="10" style="91" customWidth="1"/>
    <col min="779" max="779" width="5.28515625" style="91" customWidth="1"/>
    <col min="780" max="780" width="10.5703125" style="91" customWidth="1"/>
    <col min="781" max="781" width="11.7109375" style="91" customWidth="1"/>
    <col min="782" max="782" width="5.85546875" style="91" customWidth="1"/>
    <col min="783" max="783" width="10.7109375" style="91" customWidth="1"/>
    <col min="784" max="784" width="12.7109375" style="91" customWidth="1"/>
    <col min="785" max="785" width="9.5703125" style="91" customWidth="1"/>
    <col min="786" max="786" width="10.7109375" style="91" customWidth="1"/>
    <col min="787" max="787" width="9.85546875" style="91" customWidth="1"/>
    <col min="788" max="1024" width="9.140625" style="91"/>
    <col min="1025" max="1025" width="3.28515625" style="91" customWidth="1"/>
    <col min="1026" max="1026" width="6.42578125" style="91" customWidth="1"/>
    <col min="1027" max="1027" width="10.140625" style="91" customWidth="1"/>
    <col min="1028" max="1028" width="6" style="91" customWidth="1"/>
    <col min="1029" max="1029" width="5.85546875" style="91" customWidth="1"/>
    <col min="1030" max="1030" width="12" style="91" customWidth="1"/>
    <col min="1031" max="1031" width="8.42578125" style="91" customWidth="1"/>
    <col min="1032" max="1032" width="6.28515625" style="91" customWidth="1"/>
    <col min="1033" max="1033" width="11.5703125" style="91" customWidth="1"/>
    <col min="1034" max="1034" width="10" style="91" customWidth="1"/>
    <col min="1035" max="1035" width="5.28515625" style="91" customWidth="1"/>
    <col min="1036" max="1036" width="10.5703125" style="91" customWidth="1"/>
    <col min="1037" max="1037" width="11.7109375" style="91" customWidth="1"/>
    <col min="1038" max="1038" width="5.85546875" style="91" customWidth="1"/>
    <col min="1039" max="1039" width="10.7109375" style="91" customWidth="1"/>
    <col min="1040" max="1040" width="12.7109375" style="91" customWidth="1"/>
    <col min="1041" max="1041" width="9.5703125" style="91" customWidth="1"/>
    <col min="1042" max="1042" width="10.7109375" style="91" customWidth="1"/>
    <col min="1043" max="1043" width="9.85546875" style="91" customWidth="1"/>
    <col min="1044" max="1280" width="9.140625" style="91"/>
    <col min="1281" max="1281" width="3.28515625" style="91" customWidth="1"/>
    <col min="1282" max="1282" width="6.42578125" style="91" customWidth="1"/>
    <col min="1283" max="1283" width="10.140625" style="91" customWidth="1"/>
    <col min="1284" max="1284" width="6" style="91" customWidth="1"/>
    <col min="1285" max="1285" width="5.85546875" style="91" customWidth="1"/>
    <col min="1286" max="1286" width="12" style="91" customWidth="1"/>
    <col min="1287" max="1287" width="8.42578125" style="91" customWidth="1"/>
    <col min="1288" max="1288" width="6.28515625" style="91" customWidth="1"/>
    <col min="1289" max="1289" width="11.5703125" style="91" customWidth="1"/>
    <col min="1290" max="1290" width="10" style="91" customWidth="1"/>
    <col min="1291" max="1291" width="5.28515625" style="91" customWidth="1"/>
    <col min="1292" max="1292" width="10.5703125" style="91" customWidth="1"/>
    <col min="1293" max="1293" width="11.7109375" style="91" customWidth="1"/>
    <col min="1294" max="1294" width="5.85546875" style="91" customWidth="1"/>
    <col min="1295" max="1295" width="10.7109375" style="91" customWidth="1"/>
    <col min="1296" max="1296" width="12.7109375" style="91" customWidth="1"/>
    <col min="1297" max="1297" width="9.5703125" style="91" customWidth="1"/>
    <col min="1298" max="1298" width="10.7109375" style="91" customWidth="1"/>
    <col min="1299" max="1299" width="9.85546875" style="91" customWidth="1"/>
    <col min="1300" max="1536" width="9.140625" style="91"/>
    <col min="1537" max="1537" width="3.28515625" style="91" customWidth="1"/>
    <col min="1538" max="1538" width="6.42578125" style="91" customWidth="1"/>
    <col min="1539" max="1539" width="10.140625" style="91" customWidth="1"/>
    <col min="1540" max="1540" width="6" style="91" customWidth="1"/>
    <col min="1541" max="1541" width="5.85546875" style="91" customWidth="1"/>
    <col min="1542" max="1542" width="12" style="91" customWidth="1"/>
    <col min="1543" max="1543" width="8.42578125" style="91" customWidth="1"/>
    <col min="1544" max="1544" width="6.28515625" style="91" customWidth="1"/>
    <col min="1545" max="1545" width="11.5703125" style="91" customWidth="1"/>
    <col min="1546" max="1546" width="10" style="91" customWidth="1"/>
    <col min="1547" max="1547" width="5.28515625" style="91" customWidth="1"/>
    <col min="1548" max="1548" width="10.5703125" style="91" customWidth="1"/>
    <col min="1549" max="1549" width="11.7109375" style="91" customWidth="1"/>
    <col min="1550" max="1550" width="5.85546875" style="91" customWidth="1"/>
    <col min="1551" max="1551" width="10.7109375" style="91" customWidth="1"/>
    <col min="1552" max="1552" width="12.7109375" style="91" customWidth="1"/>
    <col min="1553" max="1553" width="9.5703125" style="91" customWidth="1"/>
    <col min="1554" max="1554" width="10.7109375" style="91" customWidth="1"/>
    <col min="1555" max="1555" width="9.85546875" style="91" customWidth="1"/>
    <col min="1556" max="1792" width="9.140625" style="91"/>
    <col min="1793" max="1793" width="3.28515625" style="91" customWidth="1"/>
    <col min="1794" max="1794" width="6.42578125" style="91" customWidth="1"/>
    <col min="1795" max="1795" width="10.140625" style="91" customWidth="1"/>
    <col min="1796" max="1796" width="6" style="91" customWidth="1"/>
    <col min="1797" max="1797" width="5.85546875" style="91" customWidth="1"/>
    <col min="1798" max="1798" width="12" style="91" customWidth="1"/>
    <col min="1799" max="1799" width="8.42578125" style="91" customWidth="1"/>
    <col min="1800" max="1800" width="6.28515625" style="91" customWidth="1"/>
    <col min="1801" max="1801" width="11.5703125" style="91" customWidth="1"/>
    <col min="1802" max="1802" width="10" style="91" customWidth="1"/>
    <col min="1803" max="1803" width="5.28515625" style="91" customWidth="1"/>
    <col min="1804" max="1804" width="10.5703125" style="91" customWidth="1"/>
    <col min="1805" max="1805" width="11.7109375" style="91" customWidth="1"/>
    <col min="1806" max="1806" width="5.85546875" style="91" customWidth="1"/>
    <col min="1807" max="1807" width="10.7109375" style="91" customWidth="1"/>
    <col min="1808" max="1808" width="12.7109375" style="91" customWidth="1"/>
    <col min="1809" max="1809" width="9.5703125" style="91" customWidth="1"/>
    <col min="1810" max="1810" width="10.7109375" style="91" customWidth="1"/>
    <col min="1811" max="1811" width="9.85546875" style="91" customWidth="1"/>
    <col min="1812" max="2048" width="9.140625" style="91"/>
    <col min="2049" max="2049" width="3.28515625" style="91" customWidth="1"/>
    <col min="2050" max="2050" width="6.42578125" style="91" customWidth="1"/>
    <col min="2051" max="2051" width="10.140625" style="91" customWidth="1"/>
    <col min="2052" max="2052" width="6" style="91" customWidth="1"/>
    <col min="2053" max="2053" width="5.85546875" style="91" customWidth="1"/>
    <col min="2054" max="2054" width="12" style="91" customWidth="1"/>
    <col min="2055" max="2055" width="8.42578125" style="91" customWidth="1"/>
    <col min="2056" max="2056" width="6.28515625" style="91" customWidth="1"/>
    <col min="2057" max="2057" width="11.5703125" style="91" customWidth="1"/>
    <col min="2058" max="2058" width="10" style="91" customWidth="1"/>
    <col min="2059" max="2059" width="5.28515625" style="91" customWidth="1"/>
    <col min="2060" max="2060" width="10.5703125" style="91" customWidth="1"/>
    <col min="2061" max="2061" width="11.7109375" style="91" customWidth="1"/>
    <col min="2062" max="2062" width="5.85546875" style="91" customWidth="1"/>
    <col min="2063" max="2063" width="10.7109375" style="91" customWidth="1"/>
    <col min="2064" max="2064" width="12.7109375" style="91" customWidth="1"/>
    <col min="2065" max="2065" width="9.5703125" style="91" customWidth="1"/>
    <col min="2066" max="2066" width="10.7109375" style="91" customWidth="1"/>
    <col min="2067" max="2067" width="9.85546875" style="91" customWidth="1"/>
    <col min="2068" max="2304" width="9.140625" style="91"/>
    <col min="2305" max="2305" width="3.28515625" style="91" customWidth="1"/>
    <col min="2306" max="2306" width="6.42578125" style="91" customWidth="1"/>
    <col min="2307" max="2307" width="10.140625" style="91" customWidth="1"/>
    <col min="2308" max="2308" width="6" style="91" customWidth="1"/>
    <col min="2309" max="2309" width="5.85546875" style="91" customWidth="1"/>
    <col min="2310" max="2310" width="12" style="91" customWidth="1"/>
    <col min="2311" max="2311" width="8.42578125" style="91" customWidth="1"/>
    <col min="2312" max="2312" width="6.28515625" style="91" customWidth="1"/>
    <col min="2313" max="2313" width="11.5703125" style="91" customWidth="1"/>
    <col min="2314" max="2314" width="10" style="91" customWidth="1"/>
    <col min="2315" max="2315" width="5.28515625" style="91" customWidth="1"/>
    <col min="2316" max="2316" width="10.5703125" style="91" customWidth="1"/>
    <col min="2317" max="2317" width="11.7109375" style="91" customWidth="1"/>
    <col min="2318" max="2318" width="5.85546875" style="91" customWidth="1"/>
    <col min="2319" max="2319" width="10.7109375" style="91" customWidth="1"/>
    <col min="2320" max="2320" width="12.7109375" style="91" customWidth="1"/>
    <col min="2321" max="2321" width="9.5703125" style="91" customWidth="1"/>
    <col min="2322" max="2322" width="10.7109375" style="91" customWidth="1"/>
    <col min="2323" max="2323" width="9.85546875" style="91" customWidth="1"/>
    <col min="2324" max="2560" width="9.140625" style="91"/>
    <col min="2561" max="2561" width="3.28515625" style="91" customWidth="1"/>
    <col min="2562" max="2562" width="6.42578125" style="91" customWidth="1"/>
    <col min="2563" max="2563" width="10.140625" style="91" customWidth="1"/>
    <col min="2564" max="2564" width="6" style="91" customWidth="1"/>
    <col min="2565" max="2565" width="5.85546875" style="91" customWidth="1"/>
    <col min="2566" max="2566" width="12" style="91" customWidth="1"/>
    <col min="2567" max="2567" width="8.42578125" style="91" customWidth="1"/>
    <col min="2568" max="2568" width="6.28515625" style="91" customWidth="1"/>
    <col min="2569" max="2569" width="11.5703125" style="91" customWidth="1"/>
    <col min="2570" max="2570" width="10" style="91" customWidth="1"/>
    <col min="2571" max="2571" width="5.28515625" style="91" customWidth="1"/>
    <col min="2572" max="2572" width="10.5703125" style="91" customWidth="1"/>
    <col min="2573" max="2573" width="11.7109375" style="91" customWidth="1"/>
    <col min="2574" max="2574" width="5.85546875" style="91" customWidth="1"/>
    <col min="2575" max="2575" width="10.7109375" style="91" customWidth="1"/>
    <col min="2576" max="2576" width="12.7109375" style="91" customWidth="1"/>
    <col min="2577" max="2577" width="9.5703125" style="91" customWidth="1"/>
    <col min="2578" max="2578" width="10.7109375" style="91" customWidth="1"/>
    <col min="2579" max="2579" width="9.85546875" style="91" customWidth="1"/>
    <col min="2580" max="2816" width="9.140625" style="91"/>
    <col min="2817" max="2817" width="3.28515625" style="91" customWidth="1"/>
    <col min="2818" max="2818" width="6.42578125" style="91" customWidth="1"/>
    <col min="2819" max="2819" width="10.140625" style="91" customWidth="1"/>
    <col min="2820" max="2820" width="6" style="91" customWidth="1"/>
    <col min="2821" max="2821" width="5.85546875" style="91" customWidth="1"/>
    <col min="2822" max="2822" width="12" style="91" customWidth="1"/>
    <col min="2823" max="2823" width="8.42578125" style="91" customWidth="1"/>
    <col min="2824" max="2824" width="6.28515625" style="91" customWidth="1"/>
    <col min="2825" max="2825" width="11.5703125" style="91" customWidth="1"/>
    <col min="2826" max="2826" width="10" style="91" customWidth="1"/>
    <col min="2827" max="2827" width="5.28515625" style="91" customWidth="1"/>
    <col min="2828" max="2828" width="10.5703125" style="91" customWidth="1"/>
    <col min="2829" max="2829" width="11.7109375" style="91" customWidth="1"/>
    <col min="2830" max="2830" width="5.85546875" style="91" customWidth="1"/>
    <col min="2831" max="2831" width="10.7109375" style="91" customWidth="1"/>
    <col min="2832" max="2832" width="12.7109375" style="91" customWidth="1"/>
    <col min="2833" max="2833" width="9.5703125" style="91" customWidth="1"/>
    <col min="2834" max="2834" width="10.7109375" style="91" customWidth="1"/>
    <col min="2835" max="2835" width="9.85546875" style="91" customWidth="1"/>
    <col min="2836" max="3072" width="9.140625" style="91"/>
    <col min="3073" max="3073" width="3.28515625" style="91" customWidth="1"/>
    <col min="3074" max="3074" width="6.42578125" style="91" customWidth="1"/>
    <col min="3075" max="3075" width="10.140625" style="91" customWidth="1"/>
    <col min="3076" max="3076" width="6" style="91" customWidth="1"/>
    <col min="3077" max="3077" width="5.85546875" style="91" customWidth="1"/>
    <col min="3078" max="3078" width="12" style="91" customWidth="1"/>
    <col min="3079" max="3079" width="8.42578125" style="91" customWidth="1"/>
    <col min="3080" max="3080" width="6.28515625" style="91" customWidth="1"/>
    <col min="3081" max="3081" width="11.5703125" style="91" customWidth="1"/>
    <col min="3082" max="3082" width="10" style="91" customWidth="1"/>
    <col min="3083" max="3083" width="5.28515625" style="91" customWidth="1"/>
    <col min="3084" max="3084" width="10.5703125" style="91" customWidth="1"/>
    <col min="3085" max="3085" width="11.7109375" style="91" customWidth="1"/>
    <col min="3086" max="3086" width="5.85546875" style="91" customWidth="1"/>
    <col min="3087" max="3087" width="10.7109375" style="91" customWidth="1"/>
    <col min="3088" max="3088" width="12.7109375" style="91" customWidth="1"/>
    <col min="3089" max="3089" width="9.5703125" style="91" customWidth="1"/>
    <col min="3090" max="3090" width="10.7109375" style="91" customWidth="1"/>
    <col min="3091" max="3091" width="9.85546875" style="91" customWidth="1"/>
    <col min="3092" max="3328" width="9.140625" style="91"/>
    <col min="3329" max="3329" width="3.28515625" style="91" customWidth="1"/>
    <col min="3330" max="3330" width="6.42578125" style="91" customWidth="1"/>
    <col min="3331" max="3331" width="10.140625" style="91" customWidth="1"/>
    <col min="3332" max="3332" width="6" style="91" customWidth="1"/>
    <col min="3333" max="3333" width="5.85546875" style="91" customWidth="1"/>
    <col min="3334" max="3334" width="12" style="91" customWidth="1"/>
    <col min="3335" max="3335" width="8.42578125" style="91" customWidth="1"/>
    <col min="3336" max="3336" width="6.28515625" style="91" customWidth="1"/>
    <col min="3337" max="3337" width="11.5703125" style="91" customWidth="1"/>
    <col min="3338" max="3338" width="10" style="91" customWidth="1"/>
    <col min="3339" max="3339" width="5.28515625" style="91" customWidth="1"/>
    <col min="3340" max="3340" width="10.5703125" style="91" customWidth="1"/>
    <col min="3341" max="3341" width="11.7109375" style="91" customWidth="1"/>
    <col min="3342" max="3342" width="5.85546875" style="91" customWidth="1"/>
    <col min="3343" max="3343" width="10.7109375" style="91" customWidth="1"/>
    <col min="3344" max="3344" width="12.7109375" style="91" customWidth="1"/>
    <col min="3345" max="3345" width="9.5703125" style="91" customWidth="1"/>
    <col min="3346" max="3346" width="10.7109375" style="91" customWidth="1"/>
    <col min="3347" max="3347" width="9.85546875" style="91" customWidth="1"/>
    <col min="3348" max="3584" width="9.140625" style="91"/>
    <col min="3585" max="3585" width="3.28515625" style="91" customWidth="1"/>
    <col min="3586" max="3586" width="6.42578125" style="91" customWidth="1"/>
    <col min="3587" max="3587" width="10.140625" style="91" customWidth="1"/>
    <col min="3588" max="3588" width="6" style="91" customWidth="1"/>
    <col min="3589" max="3589" width="5.85546875" style="91" customWidth="1"/>
    <col min="3590" max="3590" width="12" style="91" customWidth="1"/>
    <col min="3591" max="3591" width="8.42578125" style="91" customWidth="1"/>
    <col min="3592" max="3592" width="6.28515625" style="91" customWidth="1"/>
    <col min="3593" max="3593" width="11.5703125" style="91" customWidth="1"/>
    <col min="3594" max="3594" width="10" style="91" customWidth="1"/>
    <col min="3595" max="3595" width="5.28515625" style="91" customWidth="1"/>
    <col min="3596" max="3596" width="10.5703125" style="91" customWidth="1"/>
    <col min="3597" max="3597" width="11.7109375" style="91" customWidth="1"/>
    <col min="3598" max="3598" width="5.85546875" style="91" customWidth="1"/>
    <col min="3599" max="3599" width="10.7109375" style="91" customWidth="1"/>
    <col min="3600" max="3600" width="12.7109375" style="91" customWidth="1"/>
    <col min="3601" max="3601" width="9.5703125" style="91" customWidth="1"/>
    <col min="3602" max="3602" width="10.7109375" style="91" customWidth="1"/>
    <col min="3603" max="3603" width="9.85546875" style="91" customWidth="1"/>
    <col min="3604" max="3840" width="9.140625" style="91"/>
    <col min="3841" max="3841" width="3.28515625" style="91" customWidth="1"/>
    <col min="3842" max="3842" width="6.42578125" style="91" customWidth="1"/>
    <col min="3843" max="3843" width="10.140625" style="91" customWidth="1"/>
    <col min="3844" max="3844" width="6" style="91" customWidth="1"/>
    <col min="3845" max="3845" width="5.85546875" style="91" customWidth="1"/>
    <col min="3846" max="3846" width="12" style="91" customWidth="1"/>
    <col min="3847" max="3847" width="8.42578125" style="91" customWidth="1"/>
    <col min="3848" max="3848" width="6.28515625" style="91" customWidth="1"/>
    <col min="3849" max="3849" width="11.5703125" style="91" customWidth="1"/>
    <col min="3850" max="3850" width="10" style="91" customWidth="1"/>
    <col min="3851" max="3851" width="5.28515625" style="91" customWidth="1"/>
    <col min="3852" max="3852" width="10.5703125" style="91" customWidth="1"/>
    <col min="3853" max="3853" width="11.7109375" style="91" customWidth="1"/>
    <col min="3854" max="3854" width="5.85546875" style="91" customWidth="1"/>
    <col min="3855" max="3855" width="10.7109375" style="91" customWidth="1"/>
    <col min="3856" max="3856" width="12.7109375" style="91" customWidth="1"/>
    <col min="3857" max="3857" width="9.5703125" style="91" customWidth="1"/>
    <col min="3858" max="3858" width="10.7109375" style="91" customWidth="1"/>
    <col min="3859" max="3859" width="9.85546875" style="91" customWidth="1"/>
    <col min="3860" max="4096" width="9.140625" style="91"/>
    <col min="4097" max="4097" width="3.28515625" style="91" customWidth="1"/>
    <col min="4098" max="4098" width="6.42578125" style="91" customWidth="1"/>
    <col min="4099" max="4099" width="10.140625" style="91" customWidth="1"/>
    <col min="4100" max="4100" width="6" style="91" customWidth="1"/>
    <col min="4101" max="4101" width="5.85546875" style="91" customWidth="1"/>
    <col min="4102" max="4102" width="12" style="91" customWidth="1"/>
    <col min="4103" max="4103" width="8.42578125" style="91" customWidth="1"/>
    <col min="4104" max="4104" width="6.28515625" style="91" customWidth="1"/>
    <col min="4105" max="4105" width="11.5703125" style="91" customWidth="1"/>
    <col min="4106" max="4106" width="10" style="91" customWidth="1"/>
    <col min="4107" max="4107" width="5.28515625" style="91" customWidth="1"/>
    <col min="4108" max="4108" width="10.5703125" style="91" customWidth="1"/>
    <col min="4109" max="4109" width="11.7109375" style="91" customWidth="1"/>
    <col min="4110" max="4110" width="5.85546875" style="91" customWidth="1"/>
    <col min="4111" max="4111" width="10.7109375" style="91" customWidth="1"/>
    <col min="4112" max="4112" width="12.7109375" style="91" customWidth="1"/>
    <col min="4113" max="4113" width="9.5703125" style="91" customWidth="1"/>
    <col min="4114" max="4114" width="10.7109375" style="91" customWidth="1"/>
    <col min="4115" max="4115" width="9.85546875" style="91" customWidth="1"/>
    <col min="4116" max="4352" width="9.140625" style="91"/>
    <col min="4353" max="4353" width="3.28515625" style="91" customWidth="1"/>
    <col min="4354" max="4354" width="6.42578125" style="91" customWidth="1"/>
    <col min="4355" max="4355" width="10.140625" style="91" customWidth="1"/>
    <col min="4356" max="4356" width="6" style="91" customWidth="1"/>
    <col min="4357" max="4357" width="5.85546875" style="91" customWidth="1"/>
    <col min="4358" max="4358" width="12" style="91" customWidth="1"/>
    <col min="4359" max="4359" width="8.42578125" style="91" customWidth="1"/>
    <col min="4360" max="4360" width="6.28515625" style="91" customWidth="1"/>
    <col min="4361" max="4361" width="11.5703125" style="91" customWidth="1"/>
    <col min="4362" max="4362" width="10" style="91" customWidth="1"/>
    <col min="4363" max="4363" width="5.28515625" style="91" customWidth="1"/>
    <col min="4364" max="4364" width="10.5703125" style="91" customWidth="1"/>
    <col min="4365" max="4365" width="11.7109375" style="91" customWidth="1"/>
    <col min="4366" max="4366" width="5.85546875" style="91" customWidth="1"/>
    <col min="4367" max="4367" width="10.7109375" style="91" customWidth="1"/>
    <col min="4368" max="4368" width="12.7109375" style="91" customWidth="1"/>
    <col min="4369" max="4369" width="9.5703125" style="91" customWidth="1"/>
    <col min="4370" max="4370" width="10.7109375" style="91" customWidth="1"/>
    <col min="4371" max="4371" width="9.85546875" style="91" customWidth="1"/>
    <col min="4372" max="4608" width="9.140625" style="91"/>
    <col min="4609" max="4609" width="3.28515625" style="91" customWidth="1"/>
    <col min="4610" max="4610" width="6.42578125" style="91" customWidth="1"/>
    <col min="4611" max="4611" width="10.140625" style="91" customWidth="1"/>
    <col min="4612" max="4612" width="6" style="91" customWidth="1"/>
    <col min="4613" max="4613" width="5.85546875" style="91" customWidth="1"/>
    <col min="4614" max="4614" width="12" style="91" customWidth="1"/>
    <col min="4615" max="4615" width="8.42578125" style="91" customWidth="1"/>
    <col min="4616" max="4616" width="6.28515625" style="91" customWidth="1"/>
    <col min="4617" max="4617" width="11.5703125" style="91" customWidth="1"/>
    <col min="4618" max="4618" width="10" style="91" customWidth="1"/>
    <col min="4619" max="4619" width="5.28515625" style="91" customWidth="1"/>
    <col min="4620" max="4620" width="10.5703125" style="91" customWidth="1"/>
    <col min="4621" max="4621" width="11.7109375" style="91" customWidth="1"/>
    <col min="4622" max="4622" width="5.85546875" style="91" customWidth="1"/>
    <col min="4623" max="4623" width="10.7109375" style="91" customWidth="1"/>
    <col min="4624" max="4624" width="12.7109375" style="91" customWidth="1"/>
    <col min="4625" max="4625" width="9.5703125" style="91" customWidth="1"/>
    <col min="4626" max="4626" width="10.7109375" style="91" customWidth="1"/>
    <col min="4627" max="4627" width="9.85546875" style="91" customWidth="1"/>
    <col min="4628" max="4864" width="9.140625" style="91"/>
    <col min="4865" max="4865" width="3.28515625" style="91" customWidth="1"/>
    <col min="4866" max="4866" width="6.42578125" style="91" customWidth="1"/>
    <col min="4867" max="4867" width="10.140625" style="91" customWidth="1"/>
    <col min="4868" max="4868" width="6" style="91" customWidth="1"/>
    <col min="4869" max="4869" width="5.85546875" style="91" customWidth="1"/>
    <col min="4870" max="4870" width="12" style="91" customWidth="1"/>
    <col min="4871" max="4871" width="8.42578125" style="91" customWidth="1"/>
    <col min="4872" max="4872" width="6.28515625" style="91" customWidth="1"/>
    <col min="4873" max="4873" width="11.5703125" style="91" customWidth="1"/>
    <col min="4874" max="4874" width="10" style="91" customWidth="1"/>
    <col min="4875" max="4875" width="5.28515625" style="91" customWidth="1"/>
    <col min="4876" max="4876" width="10.5703125" style="91" customWidth="1"/>
    <col min="4877" max="4877" width="11.7109375" style="91" customWidth="1"/>
    <col min="4878" max="4878" width="5.85546875" style="91" customWidth="1"/>
    <col min="4879" max="4879" width="10.7109375" style="91" customWidth="1"/>
    <col min="4880" max="4880" width="12.7109375" style="91" customWidth="1"/>
    <col min="4881" max="4881" width="9.5703125" style="91" customWidth="1"/>
    <col min="4882" max="4882" width="10.7109375" style="91" customWidth="1"/>
    <col min="4883" max="4883" width="9.85546875" style="91" customWidth="1"/>
    <col min="4884" max="5120" width="9.140625" style="91"/>
    <col min="5121" max="5121" width="3.28515625" style="91" customWidth="1"/>
    <col min="5122" max="5122" width="6.42578125" style="91" customWidth="1"/>
    <col min="5123" max="5123" width="10.140625" style="91" customWidth="1"/>
    <col min="5124" max="5124" width="6" style="91" customWidth="1"/>
    <col min="5125" max="5125" width="5.85546875" style="91" customWidth="1"/>
    <col min="5126" max="5126" width="12" style="91" customWidth="1"/>
    <col min="5127" max="5127" width="8.42578125" style="91" customWidth="1"/>
    <col min="5128" max="5128" width="6.28515625" style="91" customWidth="1"/>
    <col min="5129" max="5129" width="11.5703125" style="91" customWidth="1"/>
    <col min="5130" max="5130" width="10" style="91" customWidth="1"/>
    <col min="5131" max="5131" width="5.28515625" style="91" customWidth="1"/>
    <col min="5132" max="5132" width="10.5703125" style="91" customWidth="1"/>
    <col min="5133" max="5133" width="11.7109375" style="91" customWidth="1"/>
    <col min="5134" max="5134" width="5.85546875" style="91" customWidth="1"/>
    <col min="5135" max="5135" width="10.7109375" style="91" customWidth="1"/>
    <col min="5136" max="5136" width="12.7109375" style="91" customWidth="1"/>
    <col min="5137" max="5137" width="9.5703125" style="91" customWidth="1"/>
    <col min="5138" max="5138" width="10.7109375" style="91" customWidth="1"/>
    <col min="5139" max="5139" width="9.85546875" style="91" customWidth="1"/>
    <col min="5140" max="5376" width="9.140625" style="91"/>
    <col min="5377" max="5377" width="3.28515625" style="91" customWidth="1"/>
    <col min="5378" max="5378" width="6.42578125" style="91" customWidth="1"/>
    <col min="5379" max="5379" width="10.140625" style="91" customWidth="1"/>
    <col min="5380" max="5380" width="6" style="91" customWidth="1"/>
    <col min="5381" max="5381" width="5.85546875" style="91" customWidth="1"/>
    <col min="5382" max="5382" width="12" style="91" customWidth="1"/>
    <col min="5383" max="5383" width="8.42578125" style="91" customWidth="1"/>
    <col min="5384" max="5384" width="6.28515625" style="91" customWidth="1"/>
    <col min="5385" max="5385" width="11.5703125" style="91" customWidth="1"/>
    <col min="5386" max="5386" width="10" style="91" customWidth="1"/>
    <col min="5387" max="5387" width="5.28515625" style="91" customWidth="1"/>
    <col min="5388" max="5388" width="10.5703125" style="91" customWidth="1"/>
    <col min="5389" max="5389" width="11.7109375" style="91" customWidth="1"/>
    <col min="5390" max="5390" width="5.85546875" style="91" customWidth="1"/>
    <col min="5391" max="5391" width="10.7109375" style="91" customWidth="1"/>
    <col min="5392" max="5392" width="12.7109375" style="91" customWidth="1"/>
    <col min="5393" max="5393" width="9.5703125" style="91" customWidth="1"/>
    <col min="5394" max="5394" width="10.7109375" style="91" customWidth="1"/>
    <col min="5395" max="5395" width="9.85546875" style="91" customWidth="1"/>
    <col min="5396" max="5632" width="9.140625" style="91"/>
    <col min="5633" max="5633" width="3.28515625" style="91" customWidth="1"/>
    <col min="5634" max="5634" width="6.42578125" style="91" customWidth="1"/>
    <col min="5635" max="5635" width="10.140625" style="91" customWidth="1"/>
    <col min="5636" max="5636" width="6" style="91" customWidth="1"/>
    <col min="5637" max="5637" width="5.85546875" style="91" customWidth="1"/>
    <col min="5638" max="5638" width="12" style="91" customWidth="1"/>
    <col min="5639" max="5639" width="8.42578125" style="91" customWidth="1"/>
    <col min="5640" max="5640" width="6.28515625" style="91" customWidth="1"/>
    <col min="5641" max="5641" width="11.5703125" style="91" customWidth="1"/>
    <col min="5642" max="5642" width="10" style="91" customWidth="1"/>
    <col min="5643" max="5643" width="5.28515625" style="91" customWidth="1"/>
    <col min="5644" max="5644" width="10.5703125" style="91" customWidth="1"/>
    <col min="5645" max="5645" width="11.7109375" style="91" customWidth="1"/>
    <col min="5646" max="5646" width="5.85546875" style="91" customWidth="1"/>
    <col min="5647" max="5647" width="10.7109375" style="91" customWidth="1"/>
    <col min="5648" max="5648" width="12.7109375" style="91" customWidth="1"/>
    <col min="5649" max="5649" width="9.5703125" style="91" customWidth="1"/>
    <col min="5650" max="5650" width="10.7109375" style="91" customWidth="1"/>
    <col min="5651" max="5651" width="9.85546875" style="91" customWidth="1"/>
    <col min="5652" max="5888" width="9.140625" style="91"/>
    <col min="5889" max="5889" width="3.28515625" style="91" customWidth="1"/>
    <col min="5890" max="5890" width="6.42578125" style="91" customWidth="1"/>
    <col min="5891" max="5891" width="10.140625" style="91" customWidth="1"/>
    <col min="5892" max="5892" width="6" style="91" customWidth="1"/>
    <col min="5893" max="5893" width="5.85546875" style="91" customWidth="1"/>
    <col min="5894" max="5894" width="12" style="91" customWidth="1"/>
    <col min="5895" max="5895" width="8.42578125" style="91" customWidth="1"/>
    <col min="5896" max="5896" width="6.28515625" style="91" customWidth="1"/>
    <col min="5897" max="5897" width="11.5703125" style="91" customWidth="1"/>
    <col min="5898" max="5898" width="10" style="91" customWidth="1"/>
    <col min="5899" max="5899" width="5.28515625" style="91" customWidth="1"/>
    <col min="5900" max="5900" width="10.5703125" style="91" customWidth="1"/>
    <col min="5901" max="5901" width="11.7109375" style="91" customWidth="1"/>
    <col min="5902" max="5902" width="5.85546875" style="91" customWidth="1"/>
    <col min="5903" max="5903" width="10.7109375" style="91" customWidth="1"/>
    <col min="5904" max="5904" width="12.7109375" style="91" customWidth="1"/>
    <col min="5905" max="5905" width="9.5703125" style="91" customWidth="1"/>
    <col min="5906" max="5906" width="10.7109375" style="91" customWidth="1"/>
    <col min="5907" max="5907" width="9.85546875" style="91" customWidth="1"/>
    <col min="5908" max="6144" width="9.140625" style="91"/>
    <col min="6145" max="6145" width="3.28515625" style="91" customWidth="1"/>
    <col min="6146" max="6146" width="6.42578125" style="91" customWidth="1"/>
    <col min="6147" max="6147" width="10.140625" style="91" customWidth="1"/>
    <col min="6148" max="6148" width="6" style="91" customWidth="1"/>
    <col min="6149" max="6149" width="5.85546875" style="91" customWidth="1"/>
    <col min="6150" max="6150" width="12" style="91" customWidth="1"/>
    <col min="6151" max="6151" width="8.42578125" style="91" customWidth="1"/>
    <col min="6152" max="6152" width="6.28515625" style="91" customWidth="1"/>
    <col min="6153" max="6153" width="11.5703125" style="91" customWidth="1"/>
    <col min="6154" max="6154" width="10" style="91" customWidth="1"/>
    <col min="6155" max="6155" width="5.28515625" style="91" customWidth="1"/>
    <col min="6156" max="6156" width="10.5703125" style="91" customWidth="1"/>
    <col min="6157" max="6157" width="11.7109375" style="91" customWidth="1"/>
    <col min="6158" max="6158" width="5.85546875" style="91" customWidth="1"/>
    <col min="6159" max="6159" width="10.7109375" style="91" customWidth="1"/>
    <col min="6160" max="6160" width="12.7109375" style="91" customWidth="1"/>
    <col min="6161" max="6161" width="9.5703125" style="91" customWidth="1"/>
    <col min="6162" max="6162" width="10.7109375" style="91" customWidth="1"/>
    <col min="6163" max="6163" width="9.85546875" style="91" customWidth="1"/>
    <col min="6164" max="6400" width="9.140625" style="91"/>
    <col min="6401" max="6401" width="3.28515625" style="91" customWidth="1"/>
    <col min="6402" max="6402" width="6.42578125" style="91" customWidth="1"/>
    <col min="6403" max="6403" width="10.140625" style="91" customWidth="1"/>
    <col min="6404" max="6404" width="6" style="91" customWidth="1"/>
    <col min="6405" max="6405" width="5.85546875" style="91" customWidth="1"/>
    <col min="6406" max="6406" width="12" style="91" customWidth="1"/>
    <col min="6407" max="6407" width="8.42578125" style="91" customWidth="1"/>
    <col min="6408" max="6408" width="6.28515625" style="91" customWidth="1"/>
    <col min="6409" max="6409" width="11.5703125" style="91" customWidth="1"/>
    <col min="6410" max="6410" width="10" style="91" customWidth="1"/>
    <col min="6411" max="6411" width="5.28515625" style="91" customWidth="1"/>
    <col min="6412" max="6412" width="10.5703125" style="91" customWidth="1"/>
    <col min="6413" max="6413" width="11.7109375" style="91" customWidth="1"/>
    <col min="6414" max="6414" width="5.85546875" style="91" customWidth="1"/>
    <col min="6415" max="6415" width="10.7109375" style="91" customWidth="1"/>
    <col min="6416" max="6416" width="12.7109375" style="91" customWidth="1"/>
    <col min="6417" max="6417" width="9.5703125" style="91" customWidth="1"/>
    <col min="6418" max="6418" width="10.7109375" style="91" customWidth="1"/>
    <col min="6419" max="6419" width="9.85546875" style="91" customWidth="1"/>
    <col min="6420" max="6656" width="9.140625" style="91"/>
    <col min="6657" max="6657" width="3.28515625" style="91" customWidth="1"/>
    <col min="6658" max="6658" width="6.42578125" style="91" customWidth="1"/>
    <col min="6659" max="6659" width="10.140625" style="91" customWidth="1"/>
    <col min="6660" max="6660" width="6" style="91" customWidth="1"/>
    <col min="6661" max="6661" width="5.85546875" style="91" customWidth="1"/>
    <col min="6662" max="6662" width="12" style="91" customWidth="1"/>
    <col min="6663" max="6663" width="8.42578125" style="91" customWidth="1"/>
    <col min="6664" max="6664" width="6.28515625" style="91" customWidth="1"/>
    <col min="6665" max="6665" width="11.5703125" style="91" customWidth="1"/>
    <col min="6666" max="6666" width="10" style="91" customWidth="1"/>
    <col min="6667" max="6667" width="5.28515625" style="91" customWidth="1"/>
    <col min="6668" max="6668" width="10.5703125" style="91" customWidth="1"/>
    <col min="6669" max="6669" width="11.7109375" style="91" customWidth="1"/>
    <col min="6670" max="6670" width="5.85546875" style="91" customWidth="1"/>
    <col min="6671" max="6671" width="10.7109375" style="91" customWidth="1"/>
    <col min="6672" max="6672" width="12.7109375" style="91" customWidth="1"/>
    <col min="6673" max="6673" width="9.5703125" style="91" customWidth="1"/>
    <col min="6674" max="6674" width="10.7109375" style="91" customWidth="1"/>
    <col min="6675" max="6675" width="9.85546875" style="91" customWidth="1"/>
    <col min="6676" max="6912" width="9.140625" style="91"/>
    <col min="6913" max="6913" width="3.28515625" style="91" customWidth="1"/>
    <col min="6914" max="6914" width="6.42578125" style="91" customWidth="1"/>
    <col min="6915" max="6915" width="10.140625" style="91" customWidth="1"/>
    <col min="6916" max="6916" width="6" style="91" customWidth="1"/>
    <col min="6917" max="6917" width="5.85546875" style="91" customWidth="1"/>
    <col min="6918" max="6918" width="12" style="91" customWidth="1"/>
    <col min="6919" max="6919" width="8.42578125" style="91" customWidth="1"/>
    <col min="6920" max="6920" width="6.28515625" style="91" customWidth="1"/>
    <col min="6921" max="6921" width="11.5703125" style="91" customWidth="1"/>
    <col min="6922" max="6922" width="10" style="91" customWidth="1"/>
    <col min="6923" max="6923" width="5.28515625" style="91" customWidth="1"/>
    <col min="6924" max="6924" width="10.5703125" style="91" customWidth="1"/>
    <col min="6925" max="6925" width="11.7109375" style="91" customWidth="1"/>
    <col min="6926" max="6926" width="5.85546875" style="91" customWidth="1"/>
    <col min="6927" max="6927" width="10.7109375" style="91" customWidth="1"/>
    <col min="6928" max="6928" width="12.7109375" style="91" customWidth="1"/>
    <col min="6929" max="6929" width="9.5703125" style="91" customWidth="1"/>
    <col min="6930" max="6930" width="10.7109375" style="91" customWidth="1"/>
    <col min="6931" max="6931" width="9.85546875" style="91" customWidth="1"/>
    <col min="6932" max="7168" width="9.140625" style="91"/>
    <col min="7169" max="7169" width="3.28515625" style="91" customWidth="1"/>
    <col min="7170" max="7170" width="6.42578125" style="91" customWidth="1"/>
    <col min="7171" max="7171" width="10.140625" style="91" customWidth="1"/>
    <col min="7172" max="7172" width="6" style="91" customWidth="1"/>
    <col min="7173" max="7173" width="5.85546875" style="91" customWidth="1"/>
    <col min="7174" max="7174" width="12" style="91" customWidth="1"/>
    <col min="7175" max="7175" width="8.42578125" style="91" customWidth="1"/>
    <col min="7176" max="7176" width="6.28515625" style="91" customWidth="1"/>
    <col min="7177" max="7177" width="11.5703125" style="91" customWidth="1"/>
    <col min="7178" max="7178" width="10" style="91" customWidth="1"/>
    <col min="7179" max="7179" width="5.28515625" style="91" customWidth="1"/>
    <col min="7180" max="7180" width="10.5703125" style="91" customWidth="1"/>
    <col min="7181" max="7181" width="11.7109375" style="91" customWidth="1"/>
    <col min="7182" max="7182" width="5.85546875" style="91" customWidth="1"/>
    <col min="7183" max="7183" width="10.7109375" style="91" customWidth="1"/>
    <col min="7184" max="7184" width="12.7109375" style="91" customWidth="1"/>
    <col min="7185" max="7185" width="9.5703125" style="91" customWidth="1"/>
    <col min="7186" max="7186" width="10.7109375" style="91" customWidth="1"/>
    <col min="7187" max="7187" width="9.85546875" style="91" customWidth="1"/>
    <col min="7188" max="7424" width="9.140625" style="91"/>
    <col min="7425" max="7425" width="3.28515625" style="91" customWidth="1"/>
    <col min="7426" max="7426" width="6.42578125" style="91" customWidth="1"/>
    <col min="7427" max="7427" width="10.140625" style="91" customWidth="1"/>
    <col min="7428" max="7428" width="6" style="91" customWidth="1"/>
    <col min="7429" max="7429" width="5.85546875" style="91" customWidth="1"/>
    <col min="7430" max="7430" width="12" style="91" customWidth="1"/>
    <col min="7431" max="7431" width="8.42578125" style="91" customWidth="1"/>
    <col min="7432" max="7432" width="6.28515625" style="91" customWidth="1"/>
    <col min="7433" max="7433" width="11.5703125" style="91" customWidth="1"/>
    <col min="7434" max="7434" width="10" style="91" customWidth="1"/>
    <col min="7435" max="7435" width="5.28515625" style="91" customWidth="1"/>
    <col min="7436" max="7436" width="10.5703125" style="91" customWidth="1"/>
    <col min="7437" max="7437" width="11.7109375" style="91" customWidth="1"/>
    <col min="7438" max="7438" width="5.85546875" style="91" customWidth="1"/>
    <col min="7439" max="7439" width="10.7109375" style="91" customWidth="1"/>
    <col min="7440" max="7440" width="12.7109375" style="91" customWidth="1"/>
    <col min="7441" max="7441" width="9.5703125" style="91" customWidth="1"/>
    <col min="7442" max="7442" width="10.7109375" style="91" customWidth="1"/>
    <col min="7443" max="7443" width="9.85546875" style="91" customWidth="1"/>
    <col min="7444" max="7680" width="9.140625" style="91"/>
    <col min="7681" max="7681" width="3.28515625" style="91" customWidth="1"/>
    <col min="7682" max="7682" width="6.42578125" style="91" customWidth="1"/>
    <col min="7683" max="7683" width="10.140625" style="91" customWidth="1"/>
    <col min="7684" max="7684" width="6" style="91" customWidth="1"/>
    <col min="7685" max="7685" width="5.85546875" style="91" customWidth="1"/>
    <col min="7686" max="7686" width="12" style="91" customWidth="1"/>
    <col min="7687" max="7687" width="8.42578125" style="91" customWidth="1"/>
    <col min="7688" max="7688" width="6.28515625" style="91" customWidth="1"/>
    <col min="7689" max="7689" width="11.5703125" style="91" customWidth="1"/>
    <col min="7690" max="7690" width="10" style="91" customWidth="1"/>
    <col min="7691" max="7691" width="5.28515625" style="91" customWidth="1"/>
    <col min="7692" max="7692" width="10.5703125" style="91" customWidth="1"/>
    <col min="7693" max="7693" width="11.7109375" style="91" customWidth="1"/>
    <col min="7694" max="7694" width="5.85546875" style="91" customWidth="1"/>
    <col min="7695" max="7695" width="10.7109375" style="91" customWidth="1"/>
    <col min="7696" max="7696" width="12.7109375" style="91" customWidth="1"/>
    <col min="7697" max="7697" width="9.5703125" style="91" customWidth="1"/>
    <col min="7698" max="7698" width="10.7109375" style="91" customWidth="1"/>
    <col min="7699" max="7699" width="9.85546875" style="91" customWidth="1"/>
    <col min="7700" max="7936" width="9.140625" style="91"/>
    <col min="7937" max="7937" width="3.28515625" style="91" customWidth="1"/>
    <col min="7938" max="7938" width="6.42578125" style="91" customWidth="1"/>
    <col min="7939" max="7939" width="10.140625" style="91" customWidth="1"/>
    <col min="7940" max="7940" width="6" style="91" customWidth="1"/>
    <col min="7941" max="7941" width="5.85546875" style="91" customWidth="1"/>
    <col min="7942" max="7942" width="12" style="91" customWidth="1"/>
    <col min="7943" max="7943" width="8.42578125" style="91" customWidth="1"/>
    <col min="7944" max="7944" width="6.28515625" style="91" customWidth="1"/>
    <col min="7945" max="7945" width="11.5703125" style="91" customWidth="1"/>
    <col min="7946" max="7946" width="10" style="91" customWidth="1"/>
    <col min="7947" max="7947" width="5.28515625" style="91" customWidth="1"/>
    <col min="7948" max="7948" width="10.5703125" style="91" customWidth="1"/>
    <col min="7949" max="7949" width="11.7109375" style="91" customWidth="1"/>
    <col min="7950" max="7950" width="5.85546875" style="91" customWidth="1"/>
    <col min="7951" max="7951" width="10.7109375" style="91" customWidth="1"/>
    <col min="7952" max="7952" width="12.7109375" style="91" customWidth="1"/>
    <col min="7953" max="7953" width="9.5703125" style="91" customWidth="1"/>
    <col min="7954" max="7954" width="10.7109375" style="91" customWidth="1"/>
    <col min="7955" max="7955" width="9.85546875" style="91" customWidth="1"/>
    <col min="7956" max="8192" width="9.140625" style="91"/>
    <col min="8193" max="8193" width="3.28515625" style="91" customWidth="1"/>
    <col min="8194" max="8194" width="6.42578125" style="91" customWidth="1"/>
    <col min="8195" max="8195" width="10.140625" style="91" customWidth="1"/>
    <col min="8196" max="8196" width="6" style="91" customWidth="1"/>
    <col min="8197" max="8197" width="5.85546875" style="91" customWidth="1"/>
    <col min="8198" max="8198" width="12" style="91" customWidth="1"/>
    <col min="8199" max="8199" width="8.42578125" style="91" customWidth="1"/>
    <col min="8200" max="8200" width="6.28515625" style="91" customWidth="1"/>
    <col min="8201" max="8201" width="11.5703125" style="91" customWidth="1"/>
    <col min="8202" max="8202" width="10" style="91" customWidth="1"/>
    <col min="8203" max="8203" width="5.28515625" style="91" customWidth="1"/>
    <col min="8204" max="8204" width="10.5703125" style="91" customWidth="1"/>
    <col min="8205" max="8205" width="11.7109375" style="91" customWidth="1"/>
    <col min="8206" max="8206" width="5.85546875" style="91" customWidth="1"/>
    <col min="8207" max="8207" width="10.7109375" style="91" customWidth="1"/>
    <col min="8208" max="8208" width="12.7109375" style="91" customWidth="1"/>
    <col min="8209" max="8209" width="9.5703125" style="91" customWidth="1"/>
    <col min="8210" max="8210" width="10.7109375" style="91" customWidth="1"/>
    <col min="8211" max="8211" width="9.85546875" style="91" customWidth="1"/>
    <col min="8212" max="8448" width="9.140625" style="91"/>
    <col min="8449" max="8449" width="3.28515625" style="91" customWidth="1"/>
    <col min="8450" max="8450" width="6.42578125" style="91" customWidth="1"/>
    <col min="8451" max="8451" width="10.140625" style="91" customWidth="1"/>
    <col min="8452" max="8452" width="6" style="91" customWidth="1"/>
    <col min="8453" max="8453" width="5.85546875" style="91" customWidth="1"/>
    <col min="8454" max="8454" width="12" style="91" customWidth="1"/>
    <col min="8455" max="8455" width="8.42578125" style="91" customWidth="1"/>
    <col min="8456" max="8456" width="6.28515625" style="91" customWidth="1"/>
    <col min="8457" max="8457" width="11.5703125" style="91" customWidth="1"/>
    <col min="8458" max="8458" width="10" style="91" customWidth="1"/>
    <col min="8459" max="8459" width="5.28515625" style="91" customWidth="1"/>
    <col min="8460" max="8460" width="10.5703125" style="91" customWidth="1"/>
    <col min="8461" max="8461" width="11.7109375" style="91" customWidth="1"/>
    <col min="8462" max="8462" width="5.85546875" style="91" customWidth="1"/>
    <col min="8463" max="8463" width="10.7109375" style="91" customWidth="1"/>
    <col min="8464" max="8464" width="12.7109375" style="91" customWidth="1"/>
    <col min="8465" max="8465" width="9.5703125" style="91" customWidth="1"/>
    <col min="8466" max="8466" width="10.7109375" style="91" customWidth="1"/>
    <col min="8467" max="8467" width="9.85546875" style="91" customWidth="1"/>
    <col min="8468" max="8704" width="9.140625" style="91"/>
    <col min="8705" max="8705" width="3.28515625" style="91" customWidth="1"/>
    <col min="8706" max="8706" width="6.42578125" style="91" customWidth="1"/>
    <col min="8707" max="8707" width="10.140625" style="91" customWidth="1"/>
    <col min="8708" max="8708" width="6" style="91" customWidth="1"/>
    <col min="8709" max="8709" width="5.85546875" style="91" customWidth="1"/>
    <col min="8710" max="8710" width="12" style="91" customWidth="1"/>
    <col min="8711" max="8711" width="8.42578125" style="91" customWidth="1"/>
    <col min="8712" max="8712" width="6.28515625" style="91" customWidth="1"/>
    <col min="8713" max="8713" width="11.5703125" style="91" customWidth="1"/>
    <col min="8714" max="8714" width="10" style="91" customWidth="1"/>
    <col min="8715" max="8715" width="5.28515625" style="91" customWidth="1"/>
    <col min="8716" max="8716" width="10.5703125" style="91" customWidth="1"/>
    <col min="8717" max="8717" width="11.7109375" style="91" customWidth="1"/>
    <col min="8718" max="8718" width="5.85546875" style="91" customWidth="1"/>
    <col min="8719" max="8719" width="10.7109375" style="91" customWidth="1"/>
    <col min="8720" max="8720" width="12.7109375" style="91" customWidth="1"/>
    <col min="8721" max="8721" width="9.5703125" style="91" customWidth="1"/>
    <col min="8722" max="8722" width="10.7109375" style="91" customWidth="1"/>
    <col min="8723" max="8723" width="9.85546875" style="91" customWidth="1"/>
    <col min="8724" max="8960" width="9.140625" style="91"/>
    <col min="8961" max="8961" width="3.28515625" style="91" customWidth="1"/>
    <col min="8962" max="8962" width="6.42578125" style="91" customWidth="1"/>
    <col min="8963" max="8963" width="10.140625" style="91" customWidth="1"/>
    <col min="8964" max="8964" width="6" style="91" customWidth="1"/>
    <col min="8965" max="8965" width="5.85546875" style="91" customWidth="1"/>
    <col min="8966" max="8966" width="12" style="91" customWidth="1"/>
    <col min="8967" max="8967" width="8.42578125" style="91" customWidth="1"/>
    <col min="8968" max="8968" width="6.28515625" style="91" customWidth="1"/>
    <col min="8969" max="8969" width="11.5703125" style="91" customWidth="1"/>
    <col min="8970" max="8970" width="10" style="91" customWidth="1"/>
    <col min="8971" max="8971" width="5.28515625" style="91" customWidth="1"/>
    <col min="8972" max="8972" width="10.5703125" style="91" customWidth="1"/>
    <col min="8973" max="8973" width="11.7109375" style="91" customWidth="1"/>
    <col min="8974" max="8974" width="5.85546875" style="91" customWidth="1"/>
    <col min="8975" max="8975" width="10.7109375" style="91" customWidth="1"/>
    <col min="8976" max="8976" width="12.7109375" style="91" customWidth="1"/>
    <col min="8977" max="8977" width="9.5703125" style="91" customWidth="1"/>
    <col min="8978" max="8978" width="10.7109375" style="91" customWidth="1"/>
    <col min="8979" max="8979" width="9.85546875" style="91" customWidth="1"/>
    <col min="8980" max="9216" width="9.140625" style="91"/>
    <col min="9217" max="9217" width="3.28515625" style="91" customWidth="1"/>
    <col min="9218" max="9218" width="6.42578125" style="91" customWidth="1"/>
    <col min="9219" max="9219" width="10.140625" style="91" customWidth="1"/>
    <col min="9220" max="9220" width="6" style="91" customWidth="1"/>
    <col min="9221" max="9221" width="5.85546875" style="91" customWidth="1"/>
    <col min="9222" max="9222" width="12" style="91" customWidth="1"/>
    <col min="9223" max="9223" width="8.42578125" style="91" customWidth="1"/>
    <col min="9224" max="9224" width="6.28515625" style="91" customWidth="1"/>
    <col min="9225" max="9225" width="11.5703125" style="91" customWidth="1"/>
    <col min="9226" max="9226" width="10" style="91" customWidth="1"/>
    <col min="9227" max="9227" width="5.28515625" style="91" customWidth="1"/>
    <col min="9228" max="9228" width="10.5703125" style="91" customWidth="1"/>
    <col min="9229" max="9229" width="11.7109375" style="91" customWidth="1"/>
    <col min="9230" max="9230" width="5.85546875" style="91" customWidth="1"/>
    <col min="9231" max="9231" width="10.7109375" style="91" customWidth="1"/>
    <col min="9232" max="9232" width="12.7109375" style="91" customWidth="1"/>
    <col min="9233" max="9233" width="9.5703125" style="91" customWidth="1"/>
    <col min="9234" max="9234" width="10.7109375" style="91" customWidth="1"/>
    <col min="9235" max="9235" width="9.85546875" style="91" customWidth="1"/>
    <col min="9236" max="9472" width="9.140625" style="91"/>
    <col min="9473" max="9473" width="3.28515625" style="91" customWidth="1"/>
    <col min="9474" max="9474" width="6.42578125" style="91" customWidth="1"/>
    <col min="9475" max="9475" width="10.140625" style="91" customWidth="1"/>
    <col min="9476" max="9476" width="6" style="91" customWidth="1"/>
    <col min="9477" max="9477" width="5.85546875" style="91" customWidth="1"/>
    <col min="9478" max="9478" width="12" style="91" customWidth="1"/>
    <col min="9479" max="9479" width="8.42578125" style="91" customWidth="1"/>
    <col min="9480" max="9480" width="6.28515625" style="91" customWidth="1"/>
    <col min="9481" max="9481" width="11.5703125" style="91" customWidth="1"/>
    <col min="9482" max="9482" width="10" style="91" customWidth="1"/>
    <col min="9483" max="9483" width="5.28515625" style="91" customWidth="1"/>
    <col min="9484" max="9484" width="10.5703125" style="91" customWidth="1"/>
    <col min="9485" max="9485" width="11.7109375" style="91" customWidth="1"/>
    <col min="9486" max="9486" width="5.85546875" style="91" customWidth="1"/>
    <col min="9487" max="9487" width="10.7109375" style="91" customWidth="1"/>
    <col min="9488" max="9488" width="12.7109375" style="91" customWidth="1"/>
    <col min="9489" max="9489" width="9.5703125" style="91" customWidth="1"/>
    <col min="9490" max="9490" width="10.7109375" style="91" customWidth="1"/>
    <col min="9491" max="9491" width="9.85546875" style="91" customWidth="1"/>
    <col min="9492" max="9728" width="9.140625" style="91"/>
    <col min="9729" max="9729" width="3.28515625" style="91" customWidth="1"/>
    <col min="9730" max="9730" width="6.42578125" style="91" customWidth="1"/>
    <col min="9731" max="9731" width="10.140625" style="91" customWidth="1"/>
    <col min="9732" max="9732" width="6" style="91" customWidth="1"/>
    <col min="9733" max="9733" width="5.85546875" style="91" customWidth="1"/>
    <col min="9734" max="9734" width="12" style="91" customWidth="1"/>
    <col min="9735" max="9735" width="8.42578125" style="91" customWidth="1"/>
    <col min="9736" max="9736" width="6.28515625" style="91" customWidth="1"/>
    <col min="9737" max="9737" width="11.5703125" style="91" customWidth="1"/>
    <col min="9738" max="9738" width="10" style="91" customWidth="1"/>
    <col min="9739" max="9739" width="5.28515625" style="91" customWidth="1"/>
    <col min="9740" max="9740" width="10.5703125" style="91" customWidth="1"/>
    <col min="9741" max="9741" width="11.7109375" style="91" customWidth="1"/>
    <col min="9742" max="9742" width="5.85546875" style="91" customWidth="1"/>
    <col min="9743" max="9743" width="10.7109375" style="91" customWidth="1"/>
    <col min="9744" max="9744" width="12.7109375" style="91" customWidth="1"/>
    <col min="9745" max="9745" width="9.5703125" style="91" customWidth="1"/>
    <col min="9746" max="9746" width="10.7109375" style="91" customWidth="1"/>
    <col min="9747" max="9747" width="9.85546875" style="91" customWidth="1"/>
    <col min="9748" max="9984" width="9.140625" style="91"/>
    <col min="9985" max="9985" width="3.28515625" style="91" customWidth="1"/>
    <col min="9986" max="9986" width="6.42578125" style="91" customWidth="1"/>
    <col min="9987" max="9987" width="10.140625" style="91" customWidth="1"/>
    <col min="9988" max="9988" width="6" style="91" customWidth="1"/>
    <col min="9989" max="9989" width="5.85546875" style="91" customWidth="1"/>
    <col min="9990" max="9990" width="12" style="91" customWidth="1"/>
    <col min="9991" max="9991" width="8.42578125" style="91" customWidth="1"/>
    <col min="9992" max="9992" width="6.28515625" style="91" customWidth="1"/>
    <col min="9993" max="9993" width="11.5703125" style="91" customWidth="1"/>
    <col min="9994" max="9994" width="10" style="91" customWidth="1"/>
    <col min="9995" max="9995" width="5.28515625" style="91" customWidth="1"/>
    <col min="9996" max="9996" width="10.5703125" style="91" customWidth="1"/>
    <col min="9997" max="9997" width="11.7109375" style="91" customWidth="1"/>
    <col min="9998" max="9998" width="5.85546875" style="91" customWidth="1"/>
    <col min="9999" max="9999" width="10.7109375" style="91" customWidth="1"/>
    <col min="10000" max="10000" width="12.7109375" style="91" customWidth="1"/>
    <col min="10001" max="10001" width="9.5703125" style="91" customWidth="1"/>
    <col min="10002" max="10002" width="10.7109375" style="91" customWidth="1"/>
    <col min="10003" max="10003" width="9.85546875" style="91" customWidth="1"/>
    <col min="10004" max="10240" width="9.140625" style="91"/>
    <col min="10241" max="10241" width="3.28515625" style="91" customWidth="1"/>
    <col min="10242" max="10242" width="6.42578125" style="91" customWidth="1"/>
    <col min="10243" max="10243" width="10.140625" style="91" customWidth="1"/>
    <col min="10244" max="10244" width="6" style="91" customWidth="1"/>
    <col min="10245" max="10245" width="5.85546875" style="91" customWidth="1"/>
    <col min="10246" max="10246" width="12" style="91" customWidth="1"/>
    <col min="10247" max="10247" width="8.42578125" style="91" customWidth="1"/>
    <col min="10248" max="10248" width="6.28515625" style="91" customWidth="1"/>
    <col min="10249" max="10249" width="11.5703125" style="91" customWidth="1"/>
    <col min="10250" max="10250" width="10" style="91" customWidth="1"/>
    <col min="10251" max="10251" width="5.28515625" style="91" customWidth="1"/>
    <col min="10252" max="10252" width="10.5703125" style="91" customWidth="1"/>
    <col min="10253" max="10253" width="11.7109375" style="91" customWidth="1"/>
    <col min="10254" max="10254" width="5.85546875" style="91" customWidth="1"/>
    <col min="10255" max="10255" width="10.7109375" style="91" customWidth="1"/>
    <col min="10256" max="10256" width="12.7109375" style="91" customWidth="1"/>
    <col min="10257" max="10257" width="9.5703125" style="91" customWidth="1"/>
    <col min="10258" max="10258" width="10.7109375" style="91" customWidth="1"/>
    <col min="10259" max="10259" width="9.85546875" style="91" customWidth="1"/>
    <col min="10260" max="10496" width="9.140625" style="91"/>
    <col min="10497" max="10497" width="3.28515625" style="91" customWidth="1"/>
    <col min="10498" max="10498" width="6.42578125" style="91" customWidth="1"/>
    <col min="10499" max="10499" width="10.140625" style="91" customWidth="1"/>
    <col min="10500" max="10500" width="6" style="91" customWidth="1"/>
    <col min="10501" max="10501" width="5.85546875" style="91" customWidth="1"/>
    <col min="10502" max="10502" width="12" style="91" customWidth="1"/>
    <col min="10503" max="10503" width="8.42578125" style="91" customWidth="1"/>
    <col min="10504" max="10504" width="6.28515625" style="91" customWidth="1"/>
    <col min="10505" max="10505" width="11.5703125" style="91" customWidth="1"/>
    <col min="10506" max="10506" width="10" style="91" customWidth="1"/>
    <col min="10507" max="10507" width="5.28515625" style="91" customWidth="1"/>
    <col min="10508" max="10508" width="10.5703125" style="91" customWidth="1"/>
    <col min="10509" max="10509" width="11.7109375" style="91" customWidth="1"/>
    <col min="10510" max="10510" width="5.85546875" style="91" customWidth="1"/>
    <col min="10511" max="10511" width="10.7109375" style="91" customWidth="1"/>
    <col min="10512" max="10512" width="12.7109375" style="91" customWidth="1"/>
    <col min="10513" max="10513" width="9.5703125" style="91" customWidth="1"/>
    <col min="10514" max="10514" width="10.7109375" style="91" customWidth="1"/>
    <col min="10515" max="10515" width="9.85546875" style="91" customWidth="1"/>
    <col min="10516" max="10752" width="9.140625" style="91"/>
    <col min="10753" max="10753" width="3.28515625" style="91" customWidth="1"/>
    <col min="10754" max="10754" width="6.42578125" style="91" customWidth="1"/>
    <col min="10755" max="10755" width="10.140625" style="91" customWidth="1"/>
    <col min="10756" max="10756" width="6" style="91" customWidth="1"/>
    <col min="10757" max="10757" width="5.85546875" style="91" customWidth="1"/>
    <col min="10758" max="10758" width="12" style="91" customWidth="1"/>
    <col min="10759" max="10759" width="8.42578125" style="91" customWidth="1"/>
    <col min="10760" max="10760" width="6.28515625" style="91" customWidth="1"/>
    <col min="10761" max="10761" width="11.5703125" style="91" customWidth="1"/>
    <col min="10762" max="10762" width="10" style="91" customWidth="1"/>
    <col min="10763" max="10763" width="5.28515625" style="91" customWidth="1"/>
    <col min="10764" max="10764" width="10.5703125" style="91" customWidth="1"/>
    <col min="10765" max="10765" width="11.7109375" style="91" customWidth="1"/>
    <col min="10766" max="10766" width="5.85546875" style="91" customWidth="1"/>
    <col min="10767" max="10767" width="10.7109375" style="91" customWidth="1"/>
    <col min="10768" max="10768" width="12.7109375" style="91" customWidth="1"/>
    <col min="10769" max="10769" width="9.5703125" style="91" customWidth="1"/>
    <col min="10770" max="10770" width="10.7109375" style="91" customWidth="1"/>
    <col min="10771" max="10771" width="9.85546875" style="91" customWidth="1"/>
    <col min="10772" max="11008" width="9.140625" style="91"/>
    <col min="11009" max="11009" width="3.28515625" style="91" customWidth="1"/>
    <col min="11010" max="11010" width="6.42578125" style="91" customWidth="1"/>
    <col min="11011" max="11011" width="10.140625" style="91" customWidth="1"/>
    <col min="11012" max="11012" width="6" style="91" customWidth="1"/>
    <col min="11013" max="11013" width="5.85546875" style="91" customWidth="1"/>
    <col min="11014" max="11014" width="12" style="91" customWidth="1"/>
    <col min="11015" max="11015" width="8.42578125" style="91" customWidth="1"/>
    <col min="11016" max="11016" width="6.28515625" style="91" customWidth="1"/>
    <col min="11017" max="11017" width="11.5703125" style="91" customWidth="1"/>
    <col min="11018" max="11018" width="10" style="91" customWidth="1"/>
    <col min="11019" max="11019" width="5.28515625" style="91" customWidth="1"/>
    <col min="11020" max="11020" width="10.5703125" style="91" customWidth="1"/>
    <col min="11021" max="11021" width="11.7109375" style="91" customWidth="1"/>
    <col min="11022" max="11022" width="5.85546875" style="91" customWidth="1"/>
    <col min="11023" max="11023" width="10.7109375" style="91" customWidth="1"/>
    <col min="11024" max="11024" width="12.7109375" style="91" customWidth="1"/>
    <col min="11025" max="11025" width="9.5703125" style="91" customWidth="1"/>
    <col min="11026" max="11026" width="10.7109375" style="91" customWidth="1"/>
    <col min="11027" max="11027" width="9.85546875" style="91" customWidth="1"/>
    <col min="11028" max="11264" width="9.140625" style="91"/>
    <col min="11265" max="11265" width="3.28515625" style="91" customWidth="1"/>
    <col min="11266" max="11266" width="6.42578125" style="91" customWidth="1"/>
    <col min="11267" max="11267" width="10.140625" style="91" customWidth="1"/>
    <col min="11268" max="11268" width="6" style="91" customWidth="1"/>
    <col min="11269" max="11269" width="5.85546875" style="91" customWidth="1"/>
    <col min="11270" max="11270" width="12" style="91" customWidth="1"/>
    <col min="11271" max="11271" width="8.42578125" style="91" customWidth="1"/>
    <col min="11272" max="11272" width="6.28515625" style="91" customWidth="1"/>
    <col min="11273" max="11273" width="11.5703125" style="91" customWidth="1"/>
    <col min="11274" max="11274" width="10" style="91" customWidth="1"/>
    <col min="11275" max="11275" width="5.28515625" style="91" customWidth="1"/>
    <col min="11276" max="11276" width="10.5703125" style="91" customWidth="1"/>
    <col min="11277" max="11277" width="11.7109375" style="91" customWidth="1"/>
    <col min="11278" max="11278" width="5.85546875" style="91" customWidth="1"/>
    <col min="11279" max="11279" width="10.7109375" style="91" customWidth="1"/>
    <col min="11280" max="11280" width="12.7109375" style="91" customWidth="1"/>
    <col min="11281" max="11281" width="9.5703125" style="91" customWidth="1"/>
    <col min="11282" max="11282" width="10.7109375" style="91" customWidth="1"/>
    <col min="11283" max="11283" width="9.85546875" style="91" customWidth="1"/>
    <col min="11284" max="11520" width="9.140625" style="91"/>
    <col min="11521" max="11521" width="3.28515625" style="91" customWidth="1"/>
    <col min="11522" max="11522" width="6.42578125" style="91" customWidth="1"/>
    <col min="11523" max="11523" width="10.140625" style="91" customWidth="1"/>
    <col min="11524" max="11524" width="6" style="91" customWidth="1"/>
    <col min="11525" max="11525" width="5.85546875" style="91" customWidth="1"/>
    <col min="11526" max="11526" width="12" style="91" customWidth="1"/>
    <col min="11527" max="11527" width="8.42578125" style="91" customWidth="1"/>
    <col min="11528" max="11528" width="6.28515625" style="91" customWidth="1"/>
    <col min="11529" max="11529" width="11.5703125" style="91" customWidth="1"/>
    <col min="11530" max="11530" width="10" style="91" customWidth="1"/>
    <col min="11531" max="11531" width="5.28515625" style="91" customWidth="1"/>
    <col min="11532" max="11532" width="10.5703125" style="91" customWidth="1"/>
    <col min="11533" max="11533" width="11.7109375" style="91" customWidth="1"/>
    <col min="11534" max="11534" width="5.85546875" style="91" customWidth="1"/>
    <col min="11535" max="11535" width="10.7109375" style="91" customWidth="1"/>
    <col min="11536" max="11536" width="12.7109375" style="91" customWidth="1"/>
    <col min="11537" max="11537" width="9.5703125" style="91" customWidth="1"/>
    <col min="11538" max="11538" width="10.7109375" style="91" customWidth="1"/>
    <col min="11539" max="11539" width="9.85546875" style="91" customWidth="1"/>
    <col min="11540" max="11776" width="9.140625" style="91"/>
    <col min="11777" max="11777" width="3.28515625" style="91" customWidth="1"/>
    <col min="11778" max="11778" width="6.42578125" style="91" customWidth="1"/>
    <col min="11779" max="11779" width="10.140625" style="91" customWidth="1"/>
    <col min="11780" max="11780" width="6" style="91" customWidth="1"/>
    <col min="11781" max="11781" width="5.85546875" style="91" customWidth="1"/>
    <col min="11782" max="11782" width="12" style="91" customWidth="1"/>
    <col min="11783" max="11783" width="8.42578125" style="91" customWidth="1"/>
    <col min="11784" max="11784" width="6.28515625" style="91" customWidth="1"/>
    <col min="11785" max="11785" width="11.5703125" style="91" customWidth="1"/>
    <col min="11786" max="11786" width="10" style="91" customWidth="1"/>
    <col min="11787" max="11787" width="5.28515625" style="91" customWidth="1"/>
    <col min="11788" max="11788" width="10.5703125" style="91" customWidth="1"/>
    <col min="11789" max="11789" width="11.7109375" style="91" customWidth="1"/>
    <col min="11790" max="11790" width="5.85546875" style="91" customWidth="1"/>
    <col min="11791" max="11791" width="10.7109375" style="91" customWidth="1"/>
    <col min="11792" max="11792" width="12.7109375" style="91" customWidth="1"/>
    <col min="11793" max="11793" width="9.5703125" style="91" customWidth="1"/>
    <col min="11794" max="11794" width="10.7109375" style="91" customWidth="1"/>
    <col min="11795" max="11795" width="9.85546875" style="91" customWidth="1"/>
    <col min="11796" max="12032" width="9.140625" style="91"/>
    <col min="12033" max="12033" width="3.28515625" style="91" customWidth="1"/>
    <col min="12034" max="12034" width="6.42578125" style="91" customWidth="1"/>
    <col min="12035" max="12035" width="10.140625" style="91" customWidth="1"/>
    <col min="12036" max="12036" width="6" style="91" customWidth="1"/>
    <col min="12037" max="12037" width="5.85546875" style="91" customWidth="1"/>
    <col min="12038" max="12038" width="12" style="91" customWidth="1"/>
    <col min="12039" max="12039" width="8.42578125" style="91" customWidth="1"/>
    <col min="12040" max="12040" width="6.28515625" style="91" customWidth="1"/>
    <col min="12041" max="12041" width="11.5703125" style="91" customWidth="1"/>
    <col min="12042" max="12042" width="10" style="91" customWidth="1"/>
    <col min="12043" max="12043" width="5.28515625" style="91" customWidth="1"/>
    <col min="12044" max="12044" width="10.5703125" style="91" customWidth="1"/>
    <col min="12045" max="12045" width="11.7109375" style="91" customWidth="1"/>
    <col min="12046" max="12046" width="5.85546875" style="91" customWidth="1"/>
    <col min="12047" max="12047" width="10.7109375" style="91" customWidth="1"/>
    <col min="12048" max="12048" width="12.7109375" style="91" customWidth="1"/>
    <col min="12049" max="12049" width="9.5703125" style="91" customWidth="1"/>
    <col min="12050" max="12050" width="10.7109375" style="91" customWidth="1"/>
    <col min="12051" max="12051" width="9.85546875" style="91" customWidth="1"/>
    <col min="12052" max="12288" width="9.140625" style="91"/>
    <col min="12289" max="12289" width="3.28515625" style="91" customWidth="1"/>
    <col min="12290" max="12290" width="6.42578125" style="91" customWidth="1"/>
    <col min="12291" max="12291" width="10.140625" style="91" customWidth="1"/>
    <col min="12292" max="12292" width="6" style="91" customWidth="1"/>
    <col min="12293" max="12293" width="5.85546875" style="91" customWidth="1"/>
    <col min="12294" max="12294" width="12" style="91" customWidth="1"/>
    <col min="12295" max="12295" width="8.42578125" style="91" customWidth="1"/>
    <col min="12296" max="12296" width="6.28515625" style="91" customWidth="1"/>
    <col min="12297" max="12297" width="11.5703125" style="91" customWidth="1"/>
    <col min="12298" max="12298" width="10" style="91" customWidth="1"/>
    <col min="12299" max="12299" width="5.28515625" style="91" customWidth="1"/>
    <col min="12300" max="12300" width="10.5703125" style="91" customWidth="1"/>
    <col min="12301" max="12301" width="11.7109375" style="91" customWidth="1"/>
    <col min="12302" max="12302" width="5.85546875" style="91" customWidth="1"/>
    <col min="12303" max="12303" width="10.7109375" style="91" customWidth="1"/>
    <col min="12304" max="12304" width="12.7109375" style="91" customWidth="1"/>
    <col min="12305" max="12305" width="9.5703125" style="91" customWidth="1"/>
    <col min="12306" max="12306" width="10.7109375" style="91" customWidth="1"/>
    <col min="12307" max="12307" width="9.85546875" style="91" customWidth="1"/>
    <col min="12308" max="12544" width="9.140625" style="91"/>
    <col min="12545" max="12545" width="3.28515625" style="91" customWidth="1"/>
    <col min="12546" max="12546" width="6.42578125" style="91" customWidth="1"/>
    <col min="12547" max="12547" width="10.140625" style="91" customWidth="1"/>
    <col min="12548" max="12548" width="6" style="91" customWidth="1"/>
    <col min="12549" max="12549" width="5.85546875" style="91" customWidth="1"/>
    <col min="12550" max="12550" width="12" style="91" customWidth="1"/>
    <col min="12551" max="12551" width="8.42578125" style="91" customWidth="1"/>
    <col min="12552" max="12552" width="6.28515625" style="91" customWidth="1"/>
    <col min="12553" max="12553" width="11.5703125" style="91" customWidth="1"/>
    <col min="12554" max="12554" width="10" style="91" customWidth="1"/>
    <col min="12555" max="12555" width="5.28515625" style="91" customWidth="1"/>
    <col min="12556" max="12556" width="10.5703125" style="91" customWidth="1"/>
    <col min="12557" max="12557" width="11.7109375" style="91" customWidth="1"/>
    <col min="12558" max="12558" width="5.85546875" style="91" customWidth="1"/>
    <col min="12559" max="12559" width="10.7109375" style="91" customWidth="1"/>
    <col min="12560" max="12560" width="12.7109375" style="91" customWidth="1"/>
    <col min="12561" max="12561" width="9.5703125" style="91" customWidth="1"/>
    <col min="12562" max="12562" width="10.7109375" style="91" customWidth="1"/>
    <col min="12563" max="12563" width="9.85546875" style="91" customWidth="1"/>
    <col min="12564" max="12800" width="9.140625" style="91"/>
    <col min="12801" max="12801" width="3.28515625" style="91" customWidth="1"/>
    <col min="12802" max="12802" width="6.42578125" style="91" customWidth="1"/>
    <col min="12803" max="12803" width="10.140625" style="91" customWidth="1"/>
    <col min="12804" max="12804" width="6" style="91" customWidth="1"/>
    <col min="12805" max="12805" width="5.85546875" style="91" customWidth="1"/>
    <col min="12806" max="12806" width="12" style="91" customWidth="1"/>
    <col min="12807" max="12807" width="8.42578125" style="91" customWidth="1"/>
    <col min="12808" max="12808" width="6.28515625" style="91" customWidth="1"/>
    <col min="12809" max="12809" width="11.5703125" style="91" customWidth="1"/>
    <col min="12810" max="12810" width="10" style="91" customWidth="1"/>
    <col min="12811" max="12811" width="5.28515625" style="91" customWidth="1"/>
    <col min="12812" max="12812" width="10.5703125" style="91" customWidth="1"/>
    <col min="12813" max="12813" width="11.7109375" style="91" customWidth="1"/>
    <col min="12814" max="12814" width="5.85546875" style="91" customWidth="1"/>
    <col min="12815" max="12815" width="10.7109375" style="91" customWidth="1"/>
    <col min="12816" max="12816" width="12.7109375" style="91" customWidth="1"/>
    <col min="12817" max="12817" width="9.5703125" style="91" customWidth="1"/>
    <col min="12818" max="12818" width="10.7109375" style="91" customWidth="1"/>
    <col min="12819" max="12819" width="9.85546875" style="91" customWidth="1"/>
    <col min="12820" max="13056" width="9.140625" style="91"/>
    <col min="13057" max="13057" width="3.28515625" style="91" customWidth="1"/>
    <col min="13058" max="13058" width="6.42578125" style="91" customWidth="1"/>
    <col min="13059" max="13059" width="10.140625" style="91" customWidth="1"/>
    <col min="13060" max="13060" width="6" style="91" customWidth="1"/>
    <col min="13061" max="13061" width="5.85546875" style="91" customWidth="1"/>
    <col min="13062" max="13062" width="12" style="91" customWidth="1"/>
    <col min="13063" max="13063" width="8.42578125" style="91" customWidth="1"/>
    <col min="13064" max="13064" width="6.28515625" style="91" customWidth="1"/>
    <col min="13065" max="13065" width="11.5703125" style="91" customWidth="1"/>
    <col min="13066" max="13066" width="10" style="91" customWidth="1"/>
    <col min="13067" max="13067" width="5.28515625" style="91" customWidth="1"/>
    <col min="13068" max="13068" width="10.5703125" style="91" customWidth="1"/>
    <col min="13069" max="13069" width="11.7109375" style="91" customWidth="1"/>
    <col min="13070" max="13070" width="5.85546875" style="91" customWidth="1"/>
    <col min="13071" max="13071" width="10.7109375" style="91" customWidth="1"/>
    <col min="13072" max="13072" width="12.7109375" style="91" customWidth="1"/>
    <col min="13073" max="13073" width="9.5703125" style="91" customWidth="1"/>
    <col min="13074" max="13074" width="10.7109375" style="91" customWidth="1"/>
    <col min="13075" max="13075" width="9.85546875" style="91" customWidth="1"/>
    <col min="13076" max="13312" width="9.140625" style="91"/>
    <col min="13313" max="13313" width="3.28515625" style="91" customWidth="1"/>
    <col min="13314" max="13314" width="6.42578125" style="91" customWidth="1"/>
    <col min="13315" max="13315" width="10.140625" style="91" customWidth="1"/>
    <col min="13316" max="13316" width="6" style="91" customWidth="1"/>
    <col min="13317" max="13317" width="5.85546875" style="91" customWidth="1"/>
    <col min="13318" max="13318" width="12" style="91" customWidth="1"/>
    <col min="13319" max="13319" width="8.42578125" style="91" customWidth="1"/>
    <col min="13320" max="13320" width="6.28515625" style="91" customWidth="1"/>
    <col min="13321" max="13321" width="11.5703125" style="91" customWidth="1"/>
    <col min="13322" max="13322" width="10" style="91" customWidth="1"/>
    <col min="13323" max="13323" width="5.28515625" style="91" customWidth="1"/>
    <col min="13324" max="13324" width="10.5703125" style="91" customWidth="1"/>
    <col min="13325" max="13325" width="11.7109375" style="91" customWidth="1"/>
    <col min="13326" max="13326" width="5.85546875" style="91" customWidth="1"/>
    <col min="13327" max="13327" width="10.7109375" style="91" customWidth="1"/>
    <col min="13328" max="13328" width="12.7109375" style="91" customWidth="1"/>
    <col min="13329" max="13329" width="9.5703125" style="91" customWidth="1"/>
    <col min="13330" max="13330" width="10.7109375" style="91" customWidth="1"/>
    <col min="13331" max="13331" width="9.85546875" style="91" customWidth="1"/>
    <col min="13332" max="13568" width="9.140625" style="91"/>
    <col min="13569" max="13569" width="3.28515625" style="91" customWidth="1"/>
    <col min="13570" max="13570" width="6.42578125" style="91" customWidth="1"/>
    <col min="13571" max="13571" width="10.140625" style="91" customWidth="1"/>
    <col min="13572" max="13572" width="6" style="91" customWidth="1"/>
    <col min="13573" max="13573" width="5.85546875" style="91" customWidth="1"/>
    <col min="13574" max="13574" width="12" style="91" customWidth="1"/>
    <col min="13575" max="13575" width="8.42578125" style="91" customWidth="1"/>
    <col min="13576" max="13576" width="6.28515625" style="91" customWidth="1"/>
    <col min="13577" max="13577" width="11.5703125" style="91" customWidth="1"/>
    <col min="13578" max="13578" width="10" style="91" customWidth="1"/>
    <col min="13579" max="13579" width="5.28515625" style="91" customWidth="1"/>
    <col min="13580" max="13580" width="10.5703125" style="91" customWidth="1"/>
    <col min="13581" max="13581" width="11.7109375" style="91" customWidth="1"/>
    <col min="13582" max="13582" width="5.85546875" style="91" customWidth="1"/>
    <col min="13583" max="13583" width="10.7109375" style="91" customWidth="1"/>
    <col min="13584" max="13584" width="12.7109375" style="91" customWidth="1"/>
    <col min="13585" max="13585" width="9.5703125" style="91" customWidth="1"/>
    <col min="13586" max="13586" width="10.7109375" style="91" customWidth="1"/>
    <col min="13587" max="13587" width="9.85546875" style="91" customWidth="1"/>
    <col min="13588" max="13824" width="9.140625" style="91"/>
    <col min="13825" max="13825" width="3.28515625" style="91" customWidth="1"/>
    <col min="13826" max="13826" width="6.42578125" style="91" customWidth="1"/>
    <col min="13827" max="13827" width="10.140625" style="91" customWidth="1"/>
    <col min="13828" max="13828" width="6" style="91" customWidth="1"/>
    <col min="13829" max="13829" width="5.85546875" style="91" customWidth="1"/>
    <col min="13830" max="13830" width="12" style="91" customWidth="1"/>
    <col min="13831" max="13831" width="8.42578125" style="91" customWidth="1"/>
    <col min="13832" max="13832" width="6.28515625" style="91" customWidth="1"/>
    <col min="13833" max="13833" width="11.5703125" style="91" customWidth="1"/>
    <col min="13834" max="13834" width="10" style="91" customWidth="1"/>
    <col min="13835" max="13835" width="5.28515625" style="91" customWidth="1"/>
    <col min="13836" max="13836" width="10.5703125" style="91" customWidth="1"/>
    <col min="13837" max="13837" width="11.7109375" style="91" customWidth="1"/>
    <col min="13838" max="13838" width="5.85546875" style="91" customWidth="1"/>
    <col min="13839" max="13839" width="10.7109375" style="91" customWidth="1"/>
    <col min="13840" max="13840" width="12.7109375" style="91" customWidth="1"/>
    <col min="13841" max="13841" width="9.5703125" style="91" customWidth="1"/>
    <col min="13842" max="13842" width="10.7109375" style="91" customWidth="1"/>
    <col min="13843" max="13843" width="9.85546875" style="91" customWidth="1"/>
    <col min="13844" max="14080" width="9.140625" style="91"/>
    <col min="14081" max="14081" width="3.28515625" style="91" customWidth="1"/>
    <col min="14082" max="14082" width="6.42578125" style="91" customWidth="1"/>
    <col min="14083" max="14083" width="10.140625" style="91" customWidth="1"/>
    <col min="14084" max="14084" width="6" style="91" customWidth="1"/>
    <col min="14085" max="14085" width="5.85546875" style="91" customWidth="1"/>
    <col min="14086" max="14086" width="12" style="91" customWidth="1"/>
    <col min="14087" max="14087" width="8.42578125" style="91" customWidth="1"/>
    <col min="14088" max="14088" width="6.28515625" style="91" customWidth="1"/>
    <col min="14089" max="14089" width="11.5703125" style="91" customWidth="1"/>
    <col min="14090" max="14090" width="10" style="91" customWidth="1"/>
    <col min="14091" max="14091" width="5.28515625" style="91" customWidth="1"/>
    <col min="14092" max="14092" width="10.5703125" style="91" customWidth="1"/>
    <col min="14093" max="14093" width="11.7109375" style="91" customWidth="1"/>
    <col min="14094" max="14094" width="5.85546875" style="91" customWidth="1"/>
    <col min="14095" max="14095" width="10.7109375" style="91" customWidth="1"/>
    <col min="14096" max="14096" width="12.7109375" style="91" customWidth="1"/>
    <col min="14097" max="14097" width="9.5703125" style="91" customWidth="1"/>
    <col min="14098" max="14098" width="10.7109375" style="91" customWidth="1"/>
    <col min="14099" max="14099" width="9.85546875" style="91" customWidth="1"/>
    <col min="14100" max="14336" width="9.140625" style="91"/>
    <col min="14337" max="14337" width="3.28515625" style="91" customWidth="1"/>
    <col min="14338" max="14338" width="6.42578125" style="91" customWidth="1"/>
    <col min="14339" max="14339" width="10.140625" style="91" customWidth="1"/>
    <col min="14340" max="14340" width="6" style="91" customWidth="1"/>
    <col min="14341" max="14341" width="5.85546875" style="91" customWidth="1"/>
    <col min="14342" max="14342" width="12" style="91" customWidth="1"/>
    <col min="14343" max="14343" width="8.42578125" style="91" customWidth="1"/>
    <col min="14344" max="14344" width="6.28515625" style="91" customWidth="1"/>
    <col min="14345" max="14345" width="11.5703125" style="91" customWidth="1"/>
    <col min="14346" max="14346" width="10" style="91" customWidth="1"/>
    <col min="14347" max="14347" width="5.28515625" style="91" customWidth="1"/>
    <col min="14348" max="14348" width="10.5703125" style="91" customWidth="1"/>
    <col min="14349" max="14349" width="11.7109375" style="91" customWidth="1"/>
    <col min="14350" max="14350" width="5.85546875" style="91" customWidth="1"/>
    <col min="14351" max="14351" width="10.7109375" style="91" customWidth="1"/>
    <col min="14352" max="14352" width="12.7109375" style="91" customWidth="1"/>
    <col min="14353" max="14353" width="9.5703125" style="91" customWidth="1"/>
    <col min="14354" max="14354" width="10.7109375" style="91" customWidth="1"/>
    <col min="14355" max="14355" width="9.85546875" style="91" customWidth="1"/>
    <col min="14356" max="14592" width="9.140625" style="91"/>
    <col min="14593" max="14593" width="3.28515625" style="91" customWidth="1"/>
    <col min="14594" max="14594" width="6.42578125" style="91" customWidth="1"/>
    <col min="14595" max="14595" width="10.140625" style="91" customWidth="1"/>
    <col min="14596" max="14596" width="6" style="91" customWidth="1"/>
    <col min="14597" max="14597" width="5.85546875" style="91" customWidth="1"/>
    <col min="14598" max="14598" width="12" style="91" customWidth="1"/>
    <col min="14599" max="14599" width="8.42578125" style="91" customWidth="1"/>
    <col min="14600" max="14600" width="6.28515625" style="91" customWidth="1"/>
    <col min="14601" max="14601" width="11.5703125" style="91" customWidth="1"/>
    <col min="14602" max="14602" width="10" style="91" customWidth="1"/>
    <col min="14603" max="14603" width="5.28515625" style="91" customWidth="1"/>
    <col min="14604" max="14604" width="10.5703125" style="91" customWidth="1"/>
    <col min="14605" max="14605" width="11.7109375" style="91" customWidth="1"/>
    <col min="14606" max="14606" width="5.85546875" style="91" customWidth="1"/>
    <col min="14607" max="14607" width="10.7109375" style="91" customWidth="1"/>
    <col min="14608" max="14608" width="12.7109375" style="91" customWidth="1"/>
    <col min="14609" max="14609" width="9.5703125" style="91" customWidth="1"/>
    <col min="14610" max="14610" width="10.7109375" style="91" customWidth="1"/>
    <col min="14611" max="14611" width="9.85546875" style="91" customWidth="1"/>
    <col min="14612" max="14848" width="9.140625" style="91"/>
    <col min="14849" max="14849" width="3.28515625" style="91" customWidth="1"/>
    <col min="14850" max="14850" width="6.42578125" style="91" customWidth="1"/>
    <col min="14851" max="14851" width="10.140625" style="91" customWidth="1"/>
    <col min="14852" max="14852" width="6" style="91" customWidth="1"/>
    <col min="14853" max="14853" width="5.85546875" style="91" customWidth="1"/>
    <col min="14854" max="14854" width="12" style="91" customWidth="1"/>
    <col min="14855" max="14855" width="8.42578125" style="91" customWidth="1"/>
    <col min="14856" max="14856" width="6.28515625" style="91" customWidth="1"/>
    <col min="14857" max="14857" width="11.5703125" style="91" customWidth="1"/>
    <col min="14858" max="14858" width="10" style="91" customWidth="1"/>
    <col min="14859" max="14859" width="5.28515625" style="91" customWidth="1"/>
    <col min="14860" max="14860" width="10.5703125" style="91" customWidth="1"/>
    <col min="14861" max="14861" width="11.7109375" style="91" customWidth="1"/>
    <col min="14862" max="14862" width="5.85546875" style="91" customWidth="1"/>
    <col min="14863" max="14863" width="10.7109375" style="91" customWidth="1"/>
    <col min="14864" max="14864" width="12.7109375" style="91" customWidth="1"/>
    <col min="14865" max="14865" width="9.5703125" style="91" customWidth="1"/>
    <col min="14866" max="14866" width="10.7109375" style="91" customWidth="1"/>
    <col min="14867" max="14867" width="9.85546875" style="91" customWidth="1"/>
    <col min="14868" max="15104" width="9.140625" style="91"/>
    <col min="15105" max="15105" width="3.28515625" style="91" customWidth="1"/>
    <col min="15106" max="15106" width="6.42578125" style="91" customWidth="1"/>
    <col min="15107" max="15107" width="10.140625" style="91" customWidth="1"/>
    <col min="15108" max="15108" width="6" style="91" customWidth="1"/>
    <col min="15109" max="15109" width="5.85546875" style="91" customWidth="1"/>
    <col min="15110" max="15110" width="12" style="91" customWidth="1"/>
    <col min="15111" max="15111" width="8.42578125" style="91" customWidth="1"/>
    <col min="15112" max="15112" width="6.28515625" style="91" customWidth="1"/>
    <col min="15113" max="15113" width="11.5703125" style="91" customWidth="1"/>
    <col min="15114" max="15114" width="10" style="91" customWidth="1"/>
    <col min="15115" max="15115" width="5.28515625" style="91" customWidth="1"/>
    <col min="15116" max="15116" width="10.5703125" style="91" customWidth="1"/>
    <col min="15117" max="15117" width="11.7109375" style="91" customWidth="1"/>
    <col min="15118" max="15118" width="5.85546875" style="91" customWidth="1"/>
    <col min="15119" max="15119" width="10.7109375" style="91" customWidth="1"/>
    <col min="15120" max="15120" width="12.7109375" style="91" customWidth="1"/>
    <col min="15121" max="15121" width="9.5703125" style="91" customWidth="1"/>
    <col min="15122" max="15122" width="10.7109375" style="91" customWidth="1"/>
    <col min="15123" max="15123" width="9.85546875" style="91" customWidth="1"/>
    <col min="15124" max="15360" width="9.140625" style="91"/>
    <col min="15361" max="15361" width="3.28515625" style="91" customWidth="1"/>
    <col min="15362" max="15362" width="6.42578125" style="91" customWidth="1"/>
    <col min="15363" max="15363" width="10.140625" style="91" customWidth="1"/>
    <col min="15364" max="15364" width="6" style="91" customWidth="1"/>
    <col min="15365" max="15365" width="5.85546875" style="91" customWidth="1"/>
    <col min="15366" max="15366" width="12" style="91" customWidth="1"/>
    <col min="15367" max="15367" width="8.42578125" style="91" customWidth="1"/>
    <col min="15368" max="15368" width="6.28515625" style="91" customWidth="1"/>
    <col min="15369" max="15369" width="11.5703125" style="91" customWidth="1"/>
    <col min="15370" max="15370" width="10" style="91" customWidth="1"/>
    <col min="15371" max="15371" width="5.28515625" style="91" customWidth="1"/>
    <col min="15372" max="15372" width="10.5703125" style="91" customWidth="1"/>
    <col min="15373" max="15373" width="11.7109375" style="91" customWidth="1"/>
    <col min="15374" max="15374" width="5.85546875" style="91" customWidth="1"/>
    <col min="15375" max="15375" width="10.7109375" style="91" customWidth="1"/>
    <col min="15376" max="15376" width="12.7109375" style="91" customWidth="1"/>
    <col min="15377" max="15377" width="9.5703125" style="91" customWidth="1"/>
    <col min="15378" max="15378" width="10.7109375" style="91" customWidth="1"/>
    <col min="15379" max="15379" width="9.85546875" style="91" customWidth="1"/>
    <col min="15380" max="15616" width="9.140625" style="91"/>
    <col min="15617" max="15617" width="3.28515625" style="91" customWidth="1"/>
    <col min="15618" max="15618" width="6.42578125" style="91" customWidth="1"/>
    <col min="15619" max="15619" width="10.140625" style="91" customWidth="1"/>
    <col min="15620" max="15620" width="6" style="91" customWidth="1"/>
    <col min="15621" max="15621" width="5.85546875" style="91" customWidth="1"/>
    <col min="15622" max="15622" width="12" style="91" customWidth="1"/>
    <col min="15623" max="15623" width="8.42578125" style="91" customWidth="1"/>
    <col min="15624" max="15624" width="6.28515625" style="91" customWidth="1"/>
    <col min="15625" max="15625" width="11.5703125" style="91" customWidth="1"/>
    <col min="15626" max="15626" width="10" style="91" customWidth="1"/>
    <col min="15627" max="15627" width="5.28515625" style="91" customWidth="1"/>
    <col min="15628" max="15628" width="10.5703125" style="91" customWidth="1"/>
    <col min="15629" max="15629" width="11.7109375" style="91" customWidth="1"/>
    <col min="15630" max="15630" width="5.85546875" style="91" customWidth="1"/>
    <col min="15631" max="15631" width="10.7109375" style="91" customWidth="1"/>
    <col min="15632" max="15632" width="12.7109375" style="91" customWidth="1"/>
    <col min="15633" max="15633" width="9.5703125" style="91" customWidth="1"/>
    <col min="15634" max="15634" width="10.7109375" style="91" customWidth="1"/>
    <col min="15635" max="15635" width="9.85546875" style="91" customWidth="1"/>
    <col min="15636" max="15872" width="9.140625" style="91"/>
    <col min="15873" max="15873" width="3.28515625" style="91" customWidth="1"/>
    <col min="15874" max="15874" width="6.42578125" style="91" customWidth="1"/>
    <col min="15875" max="15875" width="10.140625" style="91" customWidth="1"/>
    <col min="15876" max="15876" width="6" style="91" customWidth="1"/>
    <col min="15877" max="15877" width="5.85546875" style="91" customWidth="1"/>
    <col min="15878" max="15878" width="12" style="91" customWidth="1"/>
    <col min="15879" max="15879" width="8.42578125" style="91" customWidth="1"/>
    <col min="15880" max="15880" width="6.28515625" style="91" customWidth="1"/>
    <col min="15881" max="15881" width="11.5703125" style="91" customWidth="1"/>
    <col min="15882" max="15882" width="10" style="91" customWidth="1"/>
    <col min="15883" max="15883" width="5.28515625" style="91" customWidth="1"/>
    <col min="15884" max="15884" width="10.5703125" style="91" customWidth="1"/>
    <col min="15885" max="15885" width="11.7109375" style="91" customWidth="1"/>
    <col min="15886" max="15886" width="5.85546875" style="91" customWidth="1"/>
    <col min="15887" max="15887" width="10.7109375" style="91" customWidth="1"/>
    <col min="15888" max="15888" width="12.7109375" style="91" customWidth="1"/>
    <col min="15889" max="15889" width="9.5703125" style="91" customWidth="1"/>
    <col min="15890" max="15890" width="10.7109375" style="91" customWidth="1"/>
    <col min="15891" max="15891" width="9.85546875" style="91" customWidth="1"/>
    <col min="15892" max="16128" width="9.140625" style="91"/>
    <col min="16129" max="16129" width="3.28515625" style="91" customWidth="1"/>
    <col min="16130" max="16130" width="6.42578125" style="91" customWidth="1"/>
    <col min="16131" max="16131" width="10.140625" style="91" customWidth="1"/>
    <col min="16132" max="16132" width="6" style="91" customWidth="1"/>
    <col min="16133" max="16133" width="5.85546875" style="91" customWidth="1"/>
    <col min="16134" max="16134" width="12" style="91" customWidth="1"/>
    <col min="16135" max="16135" width="8.42578125" style="91" customWidth="1"/>
    <col min="16136" max="16136" width="6.28515625" style="91" customWidth="1"/>
    <col min="16137" max="16137" width="11.5703125" style="91" customWidth="1"/>
    <col min="16138" max="16138" width="10" style="91" customWidth="1"/>
    <col min="16139" max="16139" width="5.28515625" style="91" customWidth="1"/>
    <col min="16140" max="16140" width="10.5703125" style="91" customWidth="1"/>
    <col min="16141" max="16141" width="11.7109375" style="91" customWidth="1"/>
    <col min="16142" max="16142" width="5.85546875" style="91" customWidth="1"/>
    <col min="16143" max="16143" width="10.7109375" style="91" customWidth="1"/>
    <col min="16144" max="16144" width="12.7109375" style="91" customWidth="1"/>
    <col min="16145" max="16145" width="9.5703125" style="91" customWidth="1"/>
    <col min="16146" max="16146" width="10.7109375" style="91" customWidth="1"/>
    <col min="16147" max="16147" width="9.85546875" style="91" customWidth="1"/>
    <col min="16148" max="16384" width="9.140625" style="91"/>
  </cols>
  <sheetData>
    <row r="1" spans="1:21">
      <c r="A1" s="89"/>
      <c r="B1" s="90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21">
      <c r="A2" s="89"/>
      <c r="B2" s="1357" t="s">
        <v>146</v>
      </c>
      <c r="C2" s="1357"/>
      <c r="D2" s="1357"/>
      <c r="E2" s="1357"/>
      <c r="F2" s="1357"/>
      <c r="G2" s="1357"/>
      <c r="H2" s="1357"/>
      <c r="I2" s="1357"/>
      <c r="J2" s="1357"/>
      <c r="K2" s="1357"/>
      <c r="L2" s="1357"/>
      <c r="M2" s="1357"/>
      <c r="N2" s="1357"/>
      <c r="O2" s="1357"/>
      <c r="P2" s="1357"/>
      <c r="Q2" s="1357"/>
      <c r="R2" s="1357"/>
      <c r="S2" s="1357"/>
    </row>
    <row r="3" spans="1:21">
      <c r="A3" s="89"/>
      <c r="B3" s="1358" t="s">
        <v>196</v>
      </c>
      <c r="C3" s="1358"/>
      <c r="D3" s="1358"/>
      <c r="E3" s="1358"/>
      <c r="F3" s="1358"/>
      <c r="G3" s="1358"/>
      <c r="H3" s="1358"/>
      <c r="I3" s="1358"/>
      <c r="J3" s="1358"/>
      <c r="K3" s="1358"/>
      <c r="L3" s="1358"/>
      <c r="M3" s="1358"/>
      <c r="N3" s="1358"/>
      <c r="O3" s="1358"/>
      <c r="P3" s="1358"/>
      <c r="Q3" s="1358"/>
      <c r="R3" s="1358"/>
      <c r="S3" s="1358"/>
    </row>
    <row r="4" spans="1:21">
      <c r="A4" s="90"/>
      <c r="B4" s="1359" t="s">
        <v>1</v>
      </c>
      <c r="C4" s="1359"/>
      <c r="D4" s="1359"/>
      <c r="E4" s="1359"/>
      <c r="F4" s="1359"/>
      <c r="G4" s="1359"/>
      <c r="H4" s="1359"/>
      <c r="I4" s="1359"/>
      <c r="J4" s="1359"/>
      <c r="K4" s="1359"/>
      <c r="L4" s="1359"/>
      <c r="M4" s="1359"/>
      <c r="N4" s="1359"/>
      <c r="O4" s="1359"/>
      <c r="P4" s="1359"/>
      <c r="Q4" s="1359"/>
      <c r="R4" s="1359"/>
      <c r="S4" s="1359"/>
    </row>
    <row r="5" spans="1:21" ht="24">
      <c r="A5" s="89"/>
      <c r="B5" s="107" t="s">
        <v>113</v>
      </c>
      <c r="C5" s="1360" t="s">
        <v>197</v>
      </c>
      <c r="D5" s="1360"/>
      <c r="E5" s="1360"/>
      <c r="F5" s="107" t="s">
        <v>3</v>
      </c>
      <c r="G5" s="1360" t="s">
        <v>221</v>
      </c>
      <c r="H5" s="1360"/>
      <c r="I5" s="1360"/>
      <c r="J5" s="1360"/>
      <c r="K5" s="1360"/>
      <c r="L5" s="1360"/>
      <c r="M5" s="1360"/>
      <c r="N5" s="1360"/>
      <c r="O5" s="1360"/>
      <c r="P5" s="1360"/>
      <c r="Q5" s="1360"/>
      <c r="R5" s="1360"/>
      <c r="S5" s="1360"/>
    </row>
    <row r="6" spans="1:21" ht="24">
      <c r="A6" s="89"/>
      <c r="B6" s="107" t="s">
        <v>114</v>
      </c>
      <c r="C6" s="1360" t="s">
        <v>189</v>
      </c>
      <c r="D6" s="1360"/>
      <c r="E6" s="1360"/>
      <c r="F6" s="107" t="s">
        <v>115</v>
      </c>
      <c r="G6" s="1360" t="s">
        <v>188</v>
      </c>
      <c r="H6" s="1360"/>
      <c r="I6" s="1360"/>
      <c r="J6" s="1360"/>
      <c r="K6" s="1360"/>
      <c r="L6" s="1360"/>
      <c r="M6" s="1360"/>
      <c r="N6" s="1360"/>
      <c r="O6" s="1360"/>
      <c r="P6" s="1360"/>
      <c r="Q6" s="1360"/>
      <c r="R6" s="1360"/>
      <c r="S6" s="1360"/>
    </row>
    <row r="7" spans="1:21">
      <c r="A7" s="89"/>
      <c r="B7" s="1360" t="s">
        <v>147</v>
      </c>
      <c r="C7" s="1360" t="s">
        <v>148</v>
      </c>
      <c r="D7" s="1363" t="s">
        <v>149</v>
      </c>
      <c r="E7" s="1362" t="s">
        <v>117</v>
      </c>
      <c r="F7" s="1362"/>
      <c r="G7" s="1362"/>
      <c r="H7" s="1362" t="s">
        <v>150</v>
      </c>
      <c r="I7" s="1362"/>
      <c r="J7" s="1362"/>
      <c r="K7" s="1362" t="s">
        <v>150</v>
      </c>
      <c r="L7" s="1362"/>
      <c r="M7" s="1362"/>
      <c r="N7" s="1362" t="s">
        <v>150</v>
      </c>
      <c r="O7" s="1362"/>
      <c r="P7" s="1362"/>
      <c r="Q7" s="1362" t="s">
        <v>151</v>
      </c>
      <c r="R7" s="1362"/>
      <c r="S7" s="1362"/>
    </row>
    <row r="8" spans="1:21" ht="90">
      <c r="A8" s="89"/>
      <c r="B8" s="1360"/>
      <c r="C8" s="1360"/>
      <c r="D8" s="1363"/>
      <c r="E8" s="92" t="s">
        <v>152</v>
      </c>
      <c r="F8" s="92" t="s">
        <v>153</v>
      </c>
      <c r="G8" s="92" t="s">
        <v>154</v>
      </c>
      <c r="H8" s="92" t="s">
        <v>155</v>
      </c>
      <c r="I8" s="92" t="s">
        <v>156</v>
      </c>
      <c r="J8" s="92" t="s">
        <v>157</v>
      </c>
      <c r="K8" s="92" t="s">
        <v>158</v>
      </c>
      <c r="L8" s="92" t="s">
        <v>159</v>
      </c>
      <c r="M8" s="92" t="s">
        <v>160</v>
      </c>
      <c r="N8" s="92" t="s">
        <v>161</v>
      </c>
      <c r="O8" s="92" t="s">
        <v>162</v>
      </c>
      <c r="P8" s="92" t="s">
        <v>163</v>
      </c>
      <c r="Q8" s="92" t="s">
        <v>164</v>
      </c>
      <c r="R8" s="92" t="s">
        <v>165</v>
      </c>
      <c r="S8" s="92" t="s">
        <v>166</v>
      </c>
    </row>
    <row r="9" spans="1:21">
      <c r="A9" s="89"/>
      <c r="B9" s="93"/>
      <c r="C9" s="93"/>
      <c r="D9" s="93"/>
      <c r="E9" s="93" t="s">
        <v>13</v>
      </c>
      <c r="F9" s="93" t="s">
        <v>14</v>
      </c>
      <c r="G9" s="93" t="s">
        <v>15</v>
      </c>
      <c r="H9" s="93" t="s">
        <v>16</v>
      </c>
      <c r="I9" s="93" t="s">
        <v>17</v>
      </c>
      <c r="J9" s="93" t="s">
        <v>18</v>
      </c>
      <c r="K9" s="93" t="s">
        <v>167</v>
      </c>
      <c r="L9" s="93" t="s">
        <v>20</v>
      </c>
      <c r="M9" s="93" t="s">
        <v>21</v>
      </c>
      <c r="N9" s="93" t="s">
        <v>168</v>
      </c>
      <c r="O9" s="93" t="s">
        <v>169</v>
      </c>
      <c r="P9" s="93" t="s">
        <v>170</v>
      </c>
      <c r="Q9" s="93" t="s">
        <v>171</v>
      </c>
      <c r="R9" s="93" t="s">
        <v>172</v>
      </c>
      <c r="S9" s="93" t="s">
        <v>173</v>
      </c>
    </row>
    <row r="10" spans="1:21" ht="23.25" customHeight="1">
      <c r="A10" s="89"/>
      <c r="B10" s="1361" t="s">
        <v>174</v>
      </c>
      <c r="C10" s="1361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</row>
    <row r="11" spans="1:21" ht="15" customHeight="1">
      <c r="A11" s="89"/>
      <c r="B11" s="95" t="s">
        <v>430</v>
      </c>
      <c r="C11" s="97" t="s">
        <v>431</v>
      </c>
      <c r="D11" s="108" t="s">
        <v>438</v>
      </c>
      <c r="E11" s="109">
        <v>32604</v>
      </c>
      <c r="F11" s="109">
        <v>1565973922</v>
      </c>
      <c r="G11" s="109">
        <v>48030</v>
      </c>
      <c r="H11" s="110">
        <v>75400</v>
      </c>
      <c r="I11" s="109">
        <v>1406000000</v>
      </c>
      <c r="J11" s="115">
        <f>I11/H11</f>
        <v>18647.214854111407</v>
      </c>
      <c r="K11" s="110">
        <v>75400</v>
      </c>
      <c r="L11" s="109">
        <v>1722439960</v>
      </c>
      <c r="M11" s="111">
        <f>L11/K11</f>
        <v>22844.031299734746</v>
      </c>
      <c r="N11" s="110">
        <v>73246</v>
      </c>
      <c r="O11" s="116">
        <v>1709712230</v>
      </c>
      <c r="P11" s="111">
        <f>O11/N11</f>
        <v>23342.055948447698</v>
      </c>
      <c r="Q11" s="112">
        <f>P11-G11</f>
        <v>-24687.944051552302</v>
      </c>
      <c r="R11" s="112">
        <f>P11-J11</f>
        <v>4694.8410943362906</v>
      </c>
      <c r="S11" s="113">
        <f>P11-M11</f>
        <v>498.0246487129516</v>
      </c>
    </row>
    <row r="12" spans="1:21" ht="15" customHeight="1">
      <c r="A12" s="89"/>
      <c r="B12" s="95" t="s">
        <v>432</v>
      </c>
      <c r="C12" s="97" t="s">
        <v>433</v>
      </c>
      <c r="D12" s="114" t="s">
        <v>237</v>
      </c>
      <c r="E12" s="109">
        <v>3</v>
      </c>
      <c r="F12" s="109">
        <v>10550000</v>
      </c>
      <c r="G12" s="109">
        <v>3516667</v>
      </c>
      <c r="H12" s="110">
        <v>4</v>
      </c>
      <c r="I12" s="109">
        <v>460000000</v>
      </c>
      <c r="J12" s="115">
        <f>I12/H12</f>
        <v>115000000</v>
      </c>
      <c r="K12" s="110">
        <v>2</v>
      </c>
      <c r="L12" s="109">
        <f>197000000-60000000</f>
        <v>137000000</v>
      </c>
      <c r="M12" s="111">
        <f>L12/K12</f>
        <v>68500000</v>
      </c>
      <c r="N12" s="110">
        <f>O12/M12</f>
        <v>2</v>
      </c>
      <c r="O12" s="116">
        <f>36170081+98094879+2735040</f>
        <v>137000000</v>
      </c>
      <c r="P12" s="111">
        <f>O12/N12</f>
        <v>68500000</v>
      </c>
      <c r="Q12" s="112">
        <f>P12-G12</f>
        <v>64983333</v>
      </c>
      <c r="R12" s="112">
        <f>P12-J12</f>
        <v>-46500000</v>
      </c>
      <c r="S12" s="113">
        <f>P12-M12</f>
        <v>0</v>
      </c>
      <c r="U12" s="117"/>
    </row>
    <row r="13" spans="1:21" ht="15" customHeight="1">
      <c r="A13" s="89"/>
      <c r="B13" s="95" t="s">
        <v>434</v>
      </c>
      <c r="C13" s="97" t="s">
        <v>435</v>
      </c>
      <c r="D13" s="114" t="s">
        <v>439</v>
      </c>
      <c r="E13" s="109">
        <v>112</v>
      </c>
      <c r="F13" s="109">
        <v>328899096</v>
      </c>
      <c r="G13" s="109">
        <v>2936599</v>
      </c>
      <c r="H13" s="110">
        <v>16</v>
      </c>
      <c r="I13" s="109">
        <v>40000000</v>
      </c>
      <c r="J13" s="111">
        <f>I13/H13</f>
        <v>2500000</v>
      </c>
      <c r="K13" s="110">
        <v>16</v>
      </c>
      <c r="L13" s="109">
        <v>60000000</v>
      </c>
      <c r="M13" s="111">
        <f>L13/K13</f>
        <v>3750000</v>
      </c>
      <c r="N13" s="110">
        <f>14+21</f>
        <v>35</v>
      </c>
      <c r="O13" s="96">
        <v>56284800</v>
      </c>
      <c r="P13" s="111">
        <f>O13/N13</f>
        <v>1608137.142857143</v>
      </c>
      <c r="Q13" s="112">
        <f>P13-G13</f>
        <v>-1328461.857142857</v>
      </c>
      <c r="R13" s="112">
        <f>P13-J13</f>
        <v>-891862.85714285704</v>
      </c>
      <c r="S13" s="113">
        <f>P13-M13</f>
        <v>-2141862.8571428573</v>
      </c>
    </row>
    <row r="14" spans="1:21" ht="16.5" customHeight="1">
      <c r="A14" s="89"/>
      <c r="B14" s="95"/>
      <c r="C14" s="97" t="s">
        <v>68</v>
      </c>
      <c r="D14" s="114"/>
      <c r="E14" s="109"/>
      <c r="F14" s="118">
        <v>1905423018</v>
      </c>
      <c r="G14" s="118"/>
      <c r="H14" s="119"/>
      <c r="I14" s="118">
        <f>SUM(I11:I13)</f>
        <v>1906000000</v>
      </c>
      <c r="J14" s="119"/>
      <c r="K14" s="119"/>
      <c r="L14" s="118">
        <f>SUM(L11:L13)</f>
        <v>1919439960</v>
      </c>
      <c r="M14" s="119"/>
      <c r="N14" s="119"/>
      <c r="O14" s="118">
        <f>SUM(O11:O13)</f>
        <v>1902997030</v>
      </c>
      <c r="P14" s="110"/>
      <c r="Q14" s="110"/>
      <c r="R14" s="120"/>
      <c r="S14" s="121"/>
    </row>
    <row r="15" spans="1:21" ht="27" hidden="1" customHeight="1">
      <c r="A15" s="89"/>
      <c r="B15" s="97" t="s">
        <v>176</v>
      </c>
      <c r="C15" s="97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</row>
    <row r="16" spans="1:21" ht="27" hidden="1" customHeight="1">
      <c r="A16" s="89"/>
      <c r="B16" s="95" t="s">
        <v>430</v>
      </c>
      <c r="C16" s="97" t="s">
        <v>431</v>
      </c>
      <c r="D16" s="95" t="s">
        <v>438</v>
      </c>
      <c r="E16" s="122"/>
      <c r="F16" s="109">
        <v>8459630</v>
      </c>
      <c r="G16" s="109"/>
      <c r="H16" s="109"/>
      <c r="I16" s="109">
        <v>0</v>
      </c>
      <c r="J16" s="109"/>
      <c r="K16" s="109"/>
      <c r="L16" s="109">
        <v>0</v>
      </c>
      <c r="M16" s="109"/>
      <c r="N16" s="109"/>
      <c r="O16" s="109">
        <f>5519195+2397120</f>
        <v>7916315</v>
      </c>
      <c r="P16" s="122"/>
      <c r="Q16" s="122"/>
      <c r="R16" s="122"/>
      <c r="S16" s="122"/>
    </row>
    <row r="17" spans="1:19" ht="18" hidden="1">
      <c r="A17" s="89"/>
      <c r="B17" s="95" t="s">
        <v>363</v>
      </c>
      <c r="C17" s="97" t="s">
        <v>364</v>
      </c>
      <c r="D17" s="95"/>
      <c r="E17" s="122"/>
      <c r="F17" s="109">
        <v>3082700</v>
      </c>
      <c r="G17" s="109"/>
      <c r="H17" s="109"/>
      <c r="I17" s="109">
        <v>0</v>
      </c>
      <c r="J17" s="109"/>
      <c r="K17" s="109"/>
      <c r="L17" s="109">
        <v>0</v>
      </c>
      <c r="M17" s="109"/>
      <c r="N17" s="109"/>
      <c r="O17" s="109">
        <v>1209600</v>
      </c>
      <c r="P17" s="122"/>
      <c r="Q17" s="122"/>
      <c r="R17" s="122"/>
      <c r="S17" s="122"/>
    </row>
    <row r="18" spans="1:19" hidden="1">
      <c r="A18" s="89"/>
      <c r="B18" s="95" t="s">
        <v>175</v>
      </c>
      <c r="C18" s="97" t="s">
        <v>68</v>
      </c>
      <c r="D18" s="95"/>
      <c r="E18" s="122"/>
      <c r="F18" s="109">
        <v>11741645</v>
      </c>
      <c r="G18" s="109"/>
      <c r="H18" s="109"/>
      <c r="I18" s="109">
        <v>0</v>
      </c>
      <c r="J18" s="109"/>
      <c r="K18" s="109"/>
      <c r="L18" s="109">
        <v>0</v>
      </c>
      <c r="M18" s="109"/>
      <c r="N18" s="109"/>
      <c r="O18" s="109">
        <f>SUM(O16:O17)</f>
        <v>9125915</v>
      </c>
      <c r="P18" s="122"/>
      <c r="Q18" s="122"/>
      <c r="R18" s="122"/>
      <c r="S18" s="122"/>
    </row>
    <row r="19" spans="1:19" ht="26.25" hidden="1" customHeight="1">
      <c r="I19" s="123"/>
      <c r="J19" s="123"/>
      <c r="K19" s="123"/>
      <c r="L19" s="123"/>
      <c r="M19" s="123"/>
      <c r="N19" s="123"/>
      <c r="O19" s="123"/>
    </row>
    <row r="29" spans="1:19" ht="19.5" customHeight="1"/>
    <row r="30" spans="1:19" ht="27.75" customHeight="1"/>
  </sheetData>
  <mergeCells count="16">
    <mergeCell ref="B10:C10"/>
    <mergeCell ref="C6:E6"/>
    <mergeCell ref="G6:S6"/>
    <mergeCell ref="K7:M7"/>
    <mergeCell ref="N7:P7"/>
    <mergeCell ref="Q7:S7"/>
    <mergeCell ref="B7:B8"/>
    <mergeCell ref="C7:C8"/>
    <mergeCell ref="D7:D8"/>
    <mergeCell ref="E7:G7"/>
    <mergeCell ref="H7:J7"/>
    <mergeCell ref="B2:S2"/>
    <mergeCell ref="B3:S3"/>
    <mergeCell ref="B4:S4"/>
    <mergeCell ref="C5:E5"/>
    <mergeCell ref="G5:S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22"/>
  <sheetViews>
    <sheetView tabSelected="1" zoomScale="90" zoomScaleNormal="90" workbookViewId="0">
      <selection activeCell="C7" sqref="C7:C8"/>
    </sheetView>
  </sheetViews>
  <sheetFormatPr defaultRowHeight="15"/>
  <cols>
    <col min="1" max="1" width="3.28515625" style="773" customWidth="1"/>
    <col min="2" max="2" width="15" style="773" customWidth="1"/>
    <col min="3" max="3" width="50.42578125" style="773" customWidth="1"/>
    <col min="4" max="4" width="9.28515625" style="773" customWidth="1"/>
    <col min="5" max="5" width="8.28515625" style="773" customWidth="1"/>
    <col min="6" max="6" width="14" style="773" customWidth="1"/>
    <col min="7" max="7" width="11.7109375" style="773" customWidth="1"/>
    <col min="8" max="8" width="8.7109375" style="773" customWidth="1"/>
    <col min="9" max="9" width="16.140625" style="773" customWidth="1"/>
    <col min="10" max="10" width="12.85546875" style="773" customWidth="1"/>
    <col min="11" max="11" width="8.7109375" style="773" customWidth="1"/>
    <col min="12" max="12" width="17.140625" style="773" customWidth="1"/>
    <col min="13" max="13" width="12.42578125" style="773" customWidth="1"/>
    <col min="14" max="14" width="9.140625" style="773" customWidth="1"/>
    <col min="15" max="15" width="16" style="773" customWidth="1"/>
    <col min="16" max="16" width="13.85546875" style="773" customWidth="1"/>
    <col min="17" max="17" width="12.5703125" style="773" customWidth="1"/>
    <col min="18" max="18" width="13" style="773" customWidth="1"/>
    <col min="19" max="19" width="13.140625" style="773" customWidth="1"/>
    <col min="20" max="16384" width="9.140625" style="773"/>
  </cols>
  <sheetData>
    <row r="1" spans="1:19">
      <c r="A1" s="918"/>
      <c r="B1" s="919"/>
      <c r="C1" s="918"/>
      <c r="D1" s="918"/>
      <c r="E1" s="918"/>
      <c r="F1" s="918"/>
      <c r="G1" s="918"/>
      <c r="H1" s="918"/>
      <c r="I1" s="918"/>
      <c r="J1" s="918"/>
      <c r="K1" s="918"/>
      <c r="L1" s="918"/>
      <c r="M1" s="918"/>
      <c r="N1" s="918"/>
      <c r="O1" s="918"/>
      <c r="P1" s="918"/>
      <c r="Q1" s="918"/>
      <c r="R1" s="918"/>
      <c r="S1" s="918"/>
    </row>
    <row r="2" spans="1:19">
      <c r="A2" s="918"/>
      <c r="B2" s="1364" t="s">
        <v>146</v>
      </c>
      <c r="C2" s="1364"/>
      <c r="D2" s="1364"/>
      <c r="E2" s="1364"/>
      <c r="F2" s="1364"/>
      <c r="G2" s="1364"/>
      <c r="H2" s="1364"/>
      <c r="I2" s="1364"/>
      <c r="J2" s="1364"/>
      <c r="K2" s="1364"/>
      <c r="L2" s="1364"/>
      <c r="M2" s="1364"/>
      <c r="N2" s="1364"/>
      <c r="O2" s="1364"/>
      <c r="P2" s="1364"/>
      <c r="Q2" s="1364"/>
      <c r="R2" s="1364"/>
      <c r="S2" s="1364"/>
    </row>
    <row r="3" spans="1:19">
      <c r="A3" s="918"/>
      <c r="B3" s="1365" t="s">
        <v>196</v>
      </c>
      <c r="C3" s="1365"/>
      <c r="D3" s="1365"/>
      <c r="E3" s="1365"/>
      <c r="F3" s="1365"/>
      <c r="G3" s="1365"/>
      <c r="H3" s="1365"/>
      <c r="I3" s="1365"/>
      <c r="J3" s="1365"/>
      <c r="K3" s="1365"/>
      <c r="L3" s="1365"/>
      <c r="M3" s="1365"/>
      <c r="N3" s="1365"/>
      <c r="O3" s="1365"/>
      <c r="P3" s="1365"/>
      <c r="Q3" s="1365"/>
      <c r="R3" s="1365"/>
      <c r="S3" s="1365"/>
    </row>
    <row r="4" spans="1:19" ht="15.75" thickBot="1">
      <c r="A4" s="919"/>
      <c r="B4" s="1366" t="s">
        <v>1</v>
      </c>
      <c r="C4" s="1366"/>
      <c r="D4" s="1366"/>
      <c r="E4" s="1366"/>
      <c r="F4" s="1366"/>
      <c r="G4" s="1366"/>
      <c r="H4" s="1366"/>
      <c r="I4" s="1366"/>
      <c r="J4" s="1366"/>
      <c r="K4" s="1366"/>
      <c r="L4" s="1366"/>
      <c r="M4" s="1366"/>
      <c r="N4" s="1366"/>
      <c r="O4" s="1366"/>
      <c r="P4" s="1366"/>
      <c r="Q4" s="1366"/>
      <c r="R4" s="1366"/>
      <c r="S4" s="1366"/>
    </row>
    <row r="5" spans="1:19" ht="15.75" thickTop="1">
      <c r="A5" s="918"/>
      <c r="B5" s="920" t="s">
        <v>113</v>
      </c>
      <c r="C5" s="1367" t="s">
        <v>197</v>
      </c>
      <c r="D5" s="1367"/>
      <c r="E5" s="1367"/>
      <c r="F5" s="921" t="s">
        <v>3</v>
      </c>
      <c r="G5" s="1368" t="s">
        <v>221</v>
      </c>
      <c r="H5" s="1368"/>
      <c r="I5" s="1368"/>
      <c r="J5" s="1368"/>
      <c r="K5" s="1368"/>
      <c r="L5" s="1368"/>
      <c r="M5" s="1368"/>
      <c r="N5" s="1368"/>
      <c r="O5" s="1368"/>
      <c r="P5" s="1368"/>
      <c r="Q5" s="1368"/>
      <c r="R5" s="1368"/>
      <c r="S5" s="1368"/>
    </row>
    <row r="6" spans="1:19" ht="30">
      <c r="A6" s="918"/>
      <c r="B6" s="922" t="s">
        <v>114</v>
      </c>
      <c r="C6" s="1370" t="s">
        <v>191</v>
      </c>
      <c r="D6" s="1370"/>
      <c r="E6" s="1370"/>
      <c r="F6" s="923" t="s">
        <v>115</v>
      </c>
      <c r="G6" s="1371" t="s">
        <v>190</v>
      </c>
      <c r="H6" s="1371"/>
      <c r="I6" s="1371"/>
      <c r="J6" s="1371"/>
      <c r="K6" s="1371"/>
      <c r="L6" s="1371"/>
      <c r="M6" s="1371"/>
      <c r="N6" s="1371"/>
      <c r="O6" s="1371"/>
      <c r="P6" s="1371"/>
      <c r="Q6" s="1371"/>
      <c r="R6" s="1371"/>
      <c r="S6" s="1371"/>
    </row>
    <row r="7" spans="1:19" ht="15" customHeight="1">
      <c r="A7" s="918"/>
      <c r="B7" s="1372" t="s">
        <v>147</v>
      </c>
      <c r="C7" s="1373" t="s">
        <v>148</v>
      </c>
      <c r="D7" s="1374" t="s">
        <v>149</v>
      </c>
      <c r="E7" s="1375" t="s">
        <v>117</v>
      </c>
      <c r="F7" s="1375"/>
      <c r="G7" s="1375"/>
      <c r="H7" s="1375" t="s">
        <v>150</v>
      </c>
      <c r="I7" s="1375"/>
      <c r="J7" s="1375"/>
      <c r="K7" s="1375" t="s">
        <v>150</v>
      </c>
      <c r="L7" s="1375"/>
      <c r="M7" s="1375"/>
      <c r="N7" s="1375" t="s">
        <v>150</v>
      </c>
      <c r="O7" s="1375"/>
      <c r="P7" s="1375"/>
      <c r="Q7" s="1376" t="s">
        <v>151</v>
      </c>
      <c r="R7" s="1376"/>
      <c r="S7" s="1376"/>
    </row>
    <row r="8" spans="1:19" ht="54.75" customHeight="1">
      <c r="A8" s="918"/>
      <c r="B8" s="1372"/>
      <c r="C8" s="1373"/>
      <c r="D8" s="1374"/>
      <c r="E8" s="924" t="s">
        <v>418</v>
      </c>
      <c r="F8" s="925" t="s">
        <v>419</v>
      </c>
      <c r="G8" s="926" t="s">
        <v>420</v>
      </c>
      <c r="H8" s="927" t="s">
        <v>155</v>
      </c>
      <c r="I8" s="925" t="s">
        <v>156</v>
      </c>
      <c r="J8" s="928" t="s">
        <v>157</v>
      </c>
      <c r="K8" s="927" t="s">
        <v>158</v>
      </c>
      <c r="L8" s="925" t="s">
        <v>159</v>
      </c>
      <c r="M8" s="928" t="s">
        <v>160</v>
      </c>
      <c r="N8" s="927" t="s">
        <v>421</v>
      </c>
      <c r="O8" s="925" t="s">
        <v>422</v>
      </c>
      <c r="P8" s="928" t="s">
        <v>423</v>
      </c>
      <c r="Q8" s="927" t="s">
        <v>164</v>
      </c>
      <c r="R8" s="925" t="s">
        <v>165</v>
      </c>
      <c r="S8" s="929" t="s">
        <v>166</v>
      </c>
    </row>
    <row r="9" spans="1:19" ht="15.75" thickBot="1">
      <c r="A9" s="918"/>
      <c r="B9" s="930"/>
      <c r="C9" s="931"/>
      <c r="D9" s="931"/>
      <c r="E9" s="931" t="s">
        <v>13</v>
      </c>
      <c r="F9" s="931" t="s">
        <v>14</v>
      </c>
      <c r="G9" s="931" t="s">
        <v>15</v>
      </c>
      <c r="H9" s="931" t="s">
        <v>16</v>
      </c>
      <c r="I9" s="931" t="s">
        <v>17</v>
      </c>
      <c r="J9" s="931" t="s">
        <v>18</v>
      </c>
      <c r="K9" s="931" t="s">
        <v>167</v>
      </c>
      <c r="L9" s="931" t="s">
        <v>20</v>
      </c>
      <c r="M9" s="931" t="s">
        <v>21</v>
      </c>
      <c r="N9" s="931" t="s">
        <v>168</v>
      </c>
      <c r="O9" s="931" t="s">
        <v>169</v>
      </c>
      <c r="P9" s="931" t="s">
        <v>170</v>
      </c>
      <c r="Q9" s="931" t="s">
        <v>171</v>
      </c>
      <c r="R9" s="931" t="s">
        <v>172</v>
      </c>
      <c r="S9" s="932" t="s">
        <v>173</v>
      </c>
    </row>
    <row r="10" spans="1:19" ht="23.25" customHeight="1" thickTop="1">
      <c r="A10" s="918"/>
      <c r="B10" s="1369" t="s">
        <v>174</v>
      </c>
      <c r="C10" s="1369"/>
      <c r="D10" s="933"/>
      <c r="E10" s="934"/>
      <c r="F10" s="933"/>
      <c r="G10" s="934"/>
      <c r="H10" s="933"/>
      <c r="I10" s="934"/>
      <c r="J10" s="935"/>
      <c r="K10" s="936"/>
      <c r="L10" s="937"/>
      <c r="M10" s="938"/>
      <c r="N10" s="936"/>
      <c r="O10" s="934"/>
      <c r="P10" s="935"/>
      <c r="Q10" s="933"/>
      <c r="R10" s="934"/>
      <c r="S10" s="939"/>
    </row>
    <row r="11" spans="1:19" ht="32.25" customHeight="1">
      <c r="A11" s="918"/>
      <c r="B11" s="940" t="s">
        <v>392</v>
      </c>
      <c r="C11" s="941" t="s">
        <v>424</v>
      </c>
      <c r="D11" s="941" t="s">
        <v>425</v>
      </c>
      <c r="E11" s="942">
        <v>892</v>
      </c>
      <c r="F11" s="942">
        <v>815724716</v>
      </c>
      <c r="G11" s="942">
        <v>914489.59192825109</v>
      </c>
      <c r="H11" s="943">
        <v>844</v>
      </c>
      <c r="I11" s="942">
        <v>870000000</v>
      </c>
      <c r="J11" s="944">
        <v>1030805.6872037915</v>
      </c>
      <c r="K11" s="944">
        <v>892</v>
      </c>
      <c r="L11" s="944">
        <v>989770855</v>
      </c>
      <c r="M11" s="944">
        <v>1109608.5818385649</v>
      </c>
      <c r="N11" s="944">
        <v>879</v>
      </c>
      <c r="O11" s="942">
        <v>945965957</v>
      </c>
      <c r="P11" s="945">
        <v>1076184.2514220704</v>
      </c>
      <c r="Q11" s="945">
        <v>161694.65949381934</v>
      </c>
      <c r="R11" s="945">
        <v>45378.564218278974</v>
      </c>
      <c r="S11" s="946">
        <v>-33424.330416494515</v>
      </c>
    </row>
    <row r="12" spans="1:19" ht="32.25" customHeight="1">
      <c r="A12" s="918"/>
      <c r="B12" s="940" t="s">
        <v>398</v>
      </c>
      <c r="C12" s="941" t="s">
        <v>399</v>
      </c>
      <c r="D12" s="947" t="s">
        <v>237</v>
      </c>
      <c r="E12" s="942">
        <v>10000</v>
      </c>
      <c r="F12" s="942">
        <v>265234605</v>
      </c>
      <c r="G12" s="942">
        <v>26523.460500000001</v>
      </c>
      <c r="H12" s="942">
        <v>10000</v>
      </c>
      <c r="I12" s="942">
        <v>160178000</v>
      </c>
      <c r="J12" s="944">
        <v>16017.8</v>
      </c>
      <c r="K12" s="944">
        <v>10000</v>
      </c>
      <c r="L12" s="944">
        <v>180719902</v>
      </c>
      <c r="M12" s="944">
        <v>18071.9902</v>
      </c>
      <c r="N12" s="944">
        <v>10000</v>
      </c>
      <c r="O12" s="942">
        <v>159102021</v>
      </c>
      <c r="P12" s="945">
        <v>15910.2021</v>
      </c>
      <c r="Q12" s="945">
        <v>-10613.258400000001</v>
      </c>
      <c r="R12" s="945">
        <v>-107.59789999999884</v>
      </c>
      <c r="S12" s="946">
        <v>-2161.7880999999998</v>
      </c>
    </row>
    <row r="13" spans="1:19" ht="32.25" customHeight="1">
      <c r="A13" s="918"/>
      <c r="B13" s="940" t="s">
        <v>400</v>
      </c>
      <c r="C13" s="941" t="s">
        <v>401</v>
      </c>
      <c r="D13" s="947" t="s">
        <v>244</v>
      </c>
      <c r="E13" s="942">
        <v>50</v>
      </c>
      <c r="F13" s="942">
        <v>7999900</v>
      </c>
      <c r="G13" s="942">
        <v>159998</v>
      </c>
      <c r="H13" s="942">
        <v>50</v>
      </c>
      <c r="I13" s="942">
        <v>45000000</v>
      </c>
      <c r="J13" s="944">
        <v>900000</v>
      </c>
      <c r="K13" s="944">
        <v>50</v>
      </c>
      <c r="L13" s="944">
        <v>82612654</v>
      </c>
      <c r="M13" s="944">
        <v>1652253.08</v>
      </c>
      <c r="N13" s="944">
        <v>50</v>
      </c>
      <c r="O13" s="942">
        <v>82612654</v>
      </c>
      <c r="P13" s="945">
        <v>1652253.08</v>
      </c>
      <c r="Q13" s="945">
        <v>1492255.08</v>
      </c>
      <c r="R13" s="945">
        <v>752253.08000000007</v>
      </c>
      <c r="S13" s="946">
        <v>0</v>
      </c>
    </row>
    <row r="14" spans="1:19" ht="32.25" customHeight="1">
      <c r="A14" s="918"/>
      <c r="B14" s="940" t="s">
        <v>402</v>
      </c>
      <c r="C14" s="941" t="s">
        <v>426</v>
      </c>
      <c r="D14" s="947" t="s">
        <v>244</v>
      </c>
      <c r="E14" s="942"/>
      <c r="F14" s="942">
        <v>0</v>
      </c>
      <c r="G14" s="942"/>
      <c r="H14" s="942">
        <v>2</v>
      </c>
      <c r="I14" s="942">
        <v>132837000</v>
      </c>
      <c r="J14" s="944">
        <v>66418500</v>
      </c>
      <c r="K14" s="944">
        <v>2</v>
      </c>
      <c r="L14" s="944">
        <v>122494635</v>
      </c>
      <c r="M14" s="944">
        <v>61247317.5</v>
      </c>
      <c r="N14" s="944">
        <v>2</v>
      </c>
      <c r="O14" s="942">
        <v>100494494</v>
      </c>
      <c r="P14" s="945">
        <v>50247247</v>
      </c>
      <c r="Q14" s="945">
        <v>50247247</v>
      </c>
      <c r="R14" s="945">
        <v>-16171253</v>
      </c>
      <c r="S14" s="946">
        <v>-11000070.5</v>
      </c>
    </row>
    <row r="15" spans="1:19" ht="32.25" customHeight="1">
      <c r="A15" s="918"/>
      <c r="B15" s="940" t="s">
        <v>404</v>
      </c>
      <c r="C15" s="941" t="s">
        <v>427</v>
      </c>
      <c r="D15" s="947" t="s">
        <v>244</v>
      </c>
      <c r="E15" s="942">
        <v>50</v>
      </c>
      <c r="F15" s="942">
        <v>57773142</v>
      </c>
      <c r="G15" s="942">
        <v>1155462.8400000001</v>
      </c>
      <c r="H15" s="942">
        <v>50</v>
      </c>
      <c r="I15" s="942">
        <v>20000000</v>
      </c>
      <c r="J15" s="944">
        <v>400000</v>
      </c>
      <c r="K15" s="944">
        <v>50</v>
      </c>
      <c r="L15" s="944">
        <v>20000000</v>
      </c>
      <c r="M15" s="944">
        <v>400000</v>
      </c>
      <c r="N15" s="944">
        <v>50</v>
      </c>
      <c r="O15" s="942">
        <v>0</v>
      </c>
      <c r="P15" s="948">
        <v>0</v>
      </c>
      <c r="Q15" s="945">
        <v>-1155462.8400000001</v>
      </c>
      <c r="R15" s="945">
        <v>-400000</v>
      </c>
      <c r="S15" s="946">
        <v>-400000</v>
      </c>
    </row>
    <row r="16" spans="1:19" ht="45" customHeight="1">
      <c r="A16" s="918"/>
      <c r="B16" s="940" t="s">
        <v>406</v>
      </c>
      <c r="C16" s="941" t="s">
        <v>428</v>
      </c>
      <c r="D16" s="947" t="s">
        <v>244</v>
      </c>
      <c r="E16" s="942">
        <v>400</v>
      </c>
      <c r="F16" s="942">
        <v>280752</v>
      </c>
      <c r="G16" s="942">
        <v>701.88</v>
      </c>
      <c r="H16" s="942">
        <v>400</v>
      </c>
      <c r="I16" s="942">
        <v>1200000</v>
      </c>
      <c r="J16" s="944">
        <v>3000</v>
      </c>
      <c r="K16" s="944">
        <v>400</v>
      </c>
      <c r="L16" s="944">
        <v>1060000</v>
      </c>
      <c r="M16" s="944">
        <v>2650</v>
      </c>
      <c r="N16" s="944">
        <v>400</v>
      </c>
      <c r="O16" s="942">
        <v>0</v>
      </c>
      <c r="P16" s="948">
        <v>0</v>
      </c>
      <c r="Q16" s="945">
        <v>-701.88</v>
      </c>
      <c r="R16" s="945">
        <v>-3000</v>
      </c>
      <c r="S16" s="946">
        <v>-2650</v>
      </c>
    </row>
    <row r="17" spans="1:20" ht="32.25" customHeight="1">
      <c r="A17" s="918"/>
      <c r="B17" s="940" t="s">
        <v>410</v>
      </c>
      <c r="C17" s="941" t="s">
        <v>411</v>
      </c>
      <c r="D17" s="947" t="s">
        <v>244</v>
      </c>
      <c r="E17" s="942"/>
      <c r="F17" s="942">
        <v>0</v>
      </c>
      <c r="G17" s="942"/>
      <c r="H17" s="943">
        <v>1</v>
      </c>
      <c r="I17" s="942">
        <v>30000000</v>
      </c>
      <c r="J17" s="944">
        <v>30000000</v>
      </c>
      <c r="K17" s="944">
        <v>1</v>
      </c>
      <c r="L17" s="944">
        <v>17390000</v>
      </c>
      <c r="M17" s="944">
        <v>17390000</v>
      </c>
      <c r="N17" s="944">
        <v>1</v>
      </c>
      <c r="O17" s="942">
        <v>16941973</v>
      </c>
      <c r="P17" s="945">
        <v>16941973</v>
      </c>
      <c r="Q17" s="945">
        <v>16941973</v>
      </c>
      <c r="R17" s="945">
        <v>-13058027</v>
      </c>
      <c r="S17" s="946">
        <v>-448027</v>
      </c>
    </row>
    <row r="18" spans="1:20" ht="32.25" customHeight="1">
      <c r="A18" s="918"/>
      <c r="B18" s="940" t="s">
        <v>412</v>
      </c>
      <c r="C18" s="941" t="s">
        <v>413</v>
      </c>
      <c r="D18" s="947" t="s">
        <v>244</v>
      </c>
      <c r="E18" s="942"/>
      <c r="F18" s="942">
        <v>0</v>
      </c>
      <c r="G18" s="942"/>
      <c r="H18" s="943"/>
      <c r="I18" s="942">
        <v>42785000</v>
      </c>
      <c r="J18" s="944"/>
      <c r="K18" s="944"/>
      <c r="L18" s="944"/>
      <c r="M18" s="944"/>
      <c r="N18" s="944"/>
      <c r="O18" s="942">
        <v>0</v>
      </c>
      <c r="P18" s="948"/>
      <c r="Q18" s="945"/>
      <c r="R18" s="945"/>
      <c r="S18" s="946"/>
      <c r="T18" s="949"/>
    </row>
    <row r="19" spans="1:20" ht="32.25" customHeight="1">
      <c r="A19" s="918"/>
      <c r="B19" s="940" t="s">
        <v>414</v>
      </c>
      <c r="C19" s="941" t="s">
        <v>415</v>
      </c>
      <c r="D19" s="947" t="s">
        <v>244</v>
      </c>
      <c r="E19" s="942"/>
      <c r="F19" s="942">
        <v>0</v>
      </c>
      <c r="G19" s="942"/>
      <c r="H19" s="943"/>
      <c r="I19" s="942">
        <v>80000000</v>
      </c>
      <c r="J19" s="944"/>
      <c r="K19" s="944"/>
      <c r="L19" s="944"/>
      <c r="M19" s="944"/>
      <c r="N19" s="944"/>
      <c r="O19" s="942"/>
      <c r="P19" s="948"/>
      <c r="Q19" s="945"/>
      <c r="R19" s="945"/>
      <c r="S19" s="946"/>
      <c r="T19" s="949"/>
    </row>
    <row r="20" spans="1:20" ht="32.25" customHeight="1">
      <c r="A20" s="918"/>
      <c r="B20" s="940" t="s">
        <v>416</v>
      </c>
      <c r="C20" s="941" t="s">
        <v>417</v>
      </c>
      <c r="D20" s="947" t="s">
        <v>244</v>
      </c>
      <c r="E20" s="942"/>
      <c r="F20" s="942">
        <v>0</v>
      </c>
      <c r="G20" s="942"/>
      <c r="H20" s="943"/>
      <c r="I20" s="942">
        <v>0</v>
      </c>
      <c r="J20" s="944"/>
      <c r="K20" s="944">
        <v>5</v>
      </c>
      <c r="L20" s="944">
        <v>37753809</v>
      </c>
      <c r="M20" s="944">
        <v>7550761.7999999998</v>
      </c>
      <c r="N20" s="944">
        <v>5</v>
      </c>
      <c r="O20" s="942">
        <v>37753707</v>
      </c>
      <c r="P20" s="945">
        <v>7550741.4000000004</v>
      </c>
      <c r="Q20" s="945">
        <v>7550741.4000000004</v>
      </c>
      <c r="R20" s="945">
        <v>7550741.4000000004</v>
      </c>
      <c r="S20" s="946">
        <v>-20.399999999441206</v>
      </c>
      <c r="T20" s="949"/>
    </row>
    <row r="21" spans="1:20" ht="32.25" customHeight="1">
      <c r="A21" s="918"/>
      <c r="B21" s="940" t="s">
        <v>215</v>
      </c>
      <c r="C21" s="941" t="s">
        <v>216</v>
      </c>
      <c r="D21" s="947"/>
      <c r="E21" s="942"/>
      <c r="F21" s="942">
        <v>0</v>
      </c>
      <c r="G21" s="942"/>
      <c r="H21" s="943"/>
      <c r="I21" s="942">
        <v>45000000</v>
      </c>
      <c r="J21" s="944"/>
      <c r="K21" s="944"/>
      <c r="L21" s="944">
        <v>0</v>
      </c>
      <c r="M21" s="944"/>
      <c r="N21" s="944"/>
      <c r="O21" s="942">
        <v>0</v>
      </c>
      <c r="P21" s="948"/>
      <c r="Q21" s="945">
        <v>0</v>
      </c>
      <c r="R21" s="945">
        <v>0</v>
      </c>
      <c r="S21" s="946">
        <v>0</v>
      </c>
      <c r="T21" s="949"/>
    </row>
    <row r="22" spans="1:20" s="305" customFormat="1" ht="32.25" customHeight="1">
      <c r="A22" s="918"/>
      <c r="B22" s="940" t="s">
        <v>175</v>
      </c>
      <c r="C22" s="941" t="s">
        <v>68</v>
      </c>
      <c r="D22" s="947"/>
      <c r="E22" s="942"/>
      <c r="F22" s="942">
        <v>1147013115</v>
      </c>
      <c r="G22" s="942"/>
      <c r="H22" s="943"/>
      <c r="I22" s="950">
        <v>1427000000</v>
      </c>
      <c r="J22" s="944"/>
      <c r="K22" s="944"/>
      <c r="L22" s="951">
        <v>1451801855</v>
      </c>
      <c r="M22" s="944"/>
      <c r="N22" s="944"/>
      <c r="O22" s="950">
        <v>1342870806</v>
      </c>
      <c r="P22" s="948"/>
      <c r="Q22" s="945">
        <v>0</v>
      </c>
      <c r="R22" s="945">
        <v>0</v>
      </c>
      <c r="S22" s="946">
        <v>0</v>
      </c>
      <c r="T22" s="304"/>
    </row>
  </sheetData>
  <mergeCells count="16">
    <mergeCell ref="B10:C10"/>
    <mergeCell ref="C6:E6"/>
    <mergeCell ref="G6:S6"/>
    <mergeCell ref="B7:B8"/>
    <mergeCell ref="C7:C8"/>
    <mergeCell ref="D7:D8"/>
    <mergeCell ref="E7:G7"/>
    <mergeCell ref="H7:J7"/>
    <mergeCell ref="K7:M7"/>
    <mergeCell ref="N7:P7"/>
    <mergeCell ref="Q7:S7"/>
    <mergeCell ref="B2:S2"/>
    <mergeCell ref="B3:S3"/>
    <mergeCell ref="B4:S4"/>
    <mergeCell ref="C5:E5"/>
    <mergeCell ref="G5:S5"/>
  </mergeCells>
  <pageMargins left="0.7" right="0.7" top="0.75" bottom="0.75" header="0.3" footer="0.3"/>
  <pageSetup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C1" workbookViewId="0">
      <selection activeCell="D4" sqref="D4:Q4"/>
    </sheetView>
  </sheetViews>
  <sheetFormatPr defaultRowHeight="11.25"/>
  <cols>
    <col min="1" max="2" width="0" style="38" hidden="1" customWidth="1"/>
    <col min="3" max="3" width="4.28515625" style="296" customWidth="1"/>
    <col min="4" max="4" width="5.28515625" style="296" customWidth="1"/>
    <col min="5" max="5" width="31.5703125" style="296" customWidth="1"/>
    <col min="6" max="6" width="6.7109375" style="296" customWidth="1"/>
    <col min="7" max="7" width="15" style="296" customWidth="1"/>
    <col min="8" max="8" width="11.7109375" style="296" customWidth="1"/>
    <col min="9" max="9" width="12.7109375" style="296" customWidth="1"/>
    <col min="10" max="10" width="12" style="296" customWidth="1"/>
    <col min="11" max="11" width="10.5703125" style="296" customWidth="1"/>
    <col min="12" max="12" width="11.42578125" style="296" customWidth="1"/>
    <col min="13" max="13" width="6.7109375" style="296" customWidth="1"/>
    <col min="14" max="14" width="12.85546875" style="296" customWidth="1"/>
    <col min="15" max="15" width="11.28515625" style="296" customWidth="1"/>
    <col min="16" max="16" width="12.28515625" style="296" customWidth="1"/>
    <col min="17" max="17" width="16.28515625" style="296" customWidth="1"/>
    <col min="18" max="18" width="16.85546875" style="296" hidden="1" customWidth="1"/>
    <col min="19" max="19" width="17.42578125" style="38" hidden="1" customWidth="1"/>
    <col min="20" max="20" width="10.85546875" style="38" hidden="1" customWidth="1"/>
    <col min="21" max="21" width="17.5703125" style="38" hidden="1" customWidth="1"/>
    <col min="22" max="26" width="0" style="38" hidden="1" customWidth="1"/>
    <col min="27" max="16384" width="9.140625" style="38"/>
  </cols>
  <sheetData>
    <row r="1" spans="1:26">
      <c r="A1" s="355"/>
      <c r="B1" s="355"/>
      <c r="C1" s="356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</row>
    <row r="2" spans="1:26">
      <c r="A2" s="124"/>
      <c r="B2" s="124"/>
      <c r="C2" s="1032" t="s">
        <v>93</v>
      </c>
      <c r="D2" s="1032"/>
      <c r="E2" s="1032"/>
      <c r="F2" s="1032"/>
      <c r="G2" s="1032"/>
      <c r="H2" s="1032"/>
      <c r="I2" s="1032"/>
      <c r="J2" s="1032"/>
      <c r="K2" s="1032"/>
      <c r="L2" s="1032"/>
      <c r="M2" s="1032"/>
      <c r="N2" s="1032"/>
      <c r="O2" s="1032"/>
      <c r="P2" s="1032"/>
      <c r="Q2" s="1032"/>
    </row>
    <row r="3" spans="1:26">
      <c r="A3" s="124"/>
      <c r="B3" s="124"/>
      <c r="C3" s="1033" t="s">
        <v>196</v>
      </c>
      <c r="D3" s="1033"/>
      <c r="E3" s="1033"/>
      <c r="F3" s="1033"/>
      <c r="G3" s="1033"/>
      <c r="H3" s="1033"/>
      <c r="I3" s="1033"/>
      <c r="J3" s="1033"/>
      <c r="K3" s="1033"/>
      <c r="L3" s="1033"/>
      <c r="M3" s="1033"/>
      <c r="N3" s="1033"/>
      <c r="O3" s="1033"/>
      <c r="P3" s="1033"/>
      <c r="Q3" s="1033"/>
    </row>
    <row r="4" spans="1:26" ht="12" thickBot="1">
      <c r="A4" s="124"/>
      <c r="B4" s="124"/>
      <c r="C4" s="437"/>
      <c r="D4" s="1035" t="s">
        <v>1</v>
      </c>
      <c r="E4" s="1035"/>
      <c r="F4" s="1035"/>
      <c r="G4" s="1035"/>
      <c r="H4" s="1035"/>
      <c r="I4" s="1035"/>
      <c r="J4" s="1035"/>
      <c r="K4" s="1035"/>
      <c r="L4" s="1035"/>
      <c r="M4" s="1035"/>
      <c r="N4" s="1035"/>
      <c r="O4" s="1035"/>
      <c r="P4" s="1035"/>
      <c r="Q4" s="1035"/>
    </row>
    <row r="5" spans="1:26" ht="46.5" thickTop="1" thickBot="1">
      <c r="A5" s="1034"/>
      <c r="B5" s="1034"/>
      <c r="C5" s="358" t="s">
        <v>94</v>
      </c>
      <c r="D5" s="359" t="s">
        <v>95</v>
      </c>
      <c r="E5" s="359" t="s">
        <v>96</v>
      </c>
      <c r="F5" s="359" t="s">
        <v>97</v>
      </c>
      <c r="G5" s="359" t="s">
        <v>98</v>
      </c>
      <c r="H5" s="360" t="s">
        <v>520</v>
      </c>
      <c r="I5" s="360" t="s">
        <v>99</v>
      </c>
      <c r="J5" s="360" t="s">
        <v>100</v>
      </c>
      <c r="K5" s="360" t="s">
        <v>101</v>
      </c>
      <c r="L5" s="360" t="s">
        <v>102</v>
      </c>
      <c r="M5" s="361" t="s">
        <v>103</v>
      </c>
      <c r="N5" s="360" t="s">
        <v>104</v>
      </c>
      <c r="O5" s="360" t="s">
        <v>105</v>
      </c>
      <c r="P5" s="360" t="s">
        <v>106</v>
      </c>
      <c r="Q5" s="362" t="s">
        <v>68</v>
      </c>
    </row>
    <row r="6" spans="1:26">
      <c r="A6" s="124"/>
      <c r="B6" s="124"/>
      <c r="C6" s="363">
        <v>17</v>
      </c>
      <c r="D6" s="364" t="s">
        <v>27</v>
      </c>
      <c r="E6" s="364" t="s">
        <v>28</v>
      </c>
      <c r="F6" s="364">
        <v>2025</v>
      </c>
      <c r="G6" s="365" t="s">
        <v>81</v>
      </c>
      <c r="H6" s="366"/>
      <c r="I6" s="366">
        <f>'[1]2'!F24</f>
        <v>120000000</v>
      </c>
      <c r="J6" s="366">
        <f>'[1]2'!F15</f>
        <v>584980000</v>
      </c>
      <c r="K6" s="366">
        <f>'[1]2'!F16</f>
        <v>110000000</v>
      </c>
      <c r="L6" s="366">
        <f>'[1]2'!F17</f>
        <v>399896000</v>
      </c>
      <c r="M6" s="366"/>
      <c r="N6" s="366">
        <f>'[1]2'!H19</f>
        <v>0</v>
      </c>
      <c r="O6" s="366">
        <f>'[1]2'!F20</f>
        <v>275424000</v>
      </c>
      <c r="P6" s="366">
        <f>'[1]2'!F21</f>
        <v>33000000</v>
      </c>
      <c r="Q6" s="367">
        <f t="shared" ref="Q6:Q9" si="0">SUM(H6:P6)</f>
        <v>1523300000</v>
      </c>
      <c r="R6" s="351">
        <f>'[1]2'!F30</f>
        <v>1523300000</v>
      </c>
      <c r="S6" s="321">
        <f>Q6-R6</f>
        <v>0</v>
      </c>
      <c r="T6" s="368" t="s">
        <v>522</v>
      </c>
    </row>
    <row r="7" spans="1:26">
      <c r="A7" s="124"/>
      <c r="B7" s="124"/>
      <c r="C7" s="363">
        <v>17</v>
      </c>
      <c r="D7" s="364" t="s">
        <v>27</v>
      </c>
      <c r="E7" s="364" t="s">
        <v>28</v>
      </c>
      <c r="F7" s="364">
        <v>2025</v>
      </c>
      <c r="G7" s="365" t="s">
        <v>82</v>
      </c>
      <c r="H7" s="366"/>
      <c r="I7" s="366">
        <f>'[1]2'!H24</f>
        <v>77669000</v>
      </c>
      <c r="J7" s="366">
        <f>'[1]2'!H15</f>
        <v>665980000</v>
      </c>
      <c r="K7" s="366">
        <f>'[1]2'!H16</f>
        <v>110000000</v>
      </c>
      <c r="L7" s="366">
        <f>'[1]2'!H17</f>
        <v>534896000</v>
      </c>
      <c r="M7" s="366"/>
      <c r="N7" s="366"/>
      <c r="O7" s="366">
        <f>'[1]2'!H20</f>
        <v>240424000</v>
      </c>
      <c r="P7" s="366">
        <f>'[1]2'!H21</f>
        <v>44963853</v>
      </c>
      <c r="Q7" s="367">
        <f t="shared" si="0"/>
        <v>1673932853</v>
      </c>
      <c r="R7" s="351">
        <f>'[1]2'!H56</f>
        <v>1673932853</v>
      </c>
      <c r="S7" s="321">
        <f>Q7-R7</f>
        <v>0</v>
      </c>
      <c r="T7" s="368" t="s">
        <v>522</v>
      </c>
    </row>
    <row r="8" spans="1:26">
      <c r="A8" s="124"/>
      <c r="B8" s="124"/>
      <c r="C8" s="363">
        <v>17</v>
      </c>
      <c r="D8" s="364" t="s">
        <v>27</v>
      </c>
      <c r="E8" s="364" t="s">
        <v>28</v>
      </c>
      <c r="F8" s="364">
        <v>2025</v>
      </c>
      <c r="G8" s="365" t="s">
        <v>107</v>
      </c>
      <c r="H8" s="366"/>
      <c r="I8" s="366">
        <f>'[1]2'!K24</f>
        <v>77653696</v>
      </c>
      <c r="J8" s="366">
        <f>'[1]2'!K15</f>
        <v>665077065</v>
      </c>
      <c r="K8" s="366">
        <f>'[1]2'!K16</f>
        <v>107335094</v>
      </c>
      <c r="L8" s="366">
        <f>'[1]2'!K17</f>
        <v>521568122</v>
      </c>
      <c r="M8" s="366"/>
      <c r="N8" s="366"/>
      <c r="O8" s="366">
        <f>'[1]2'!K20</f>
        <v>240411100</v>
      </c>
      <c r="P8" s="366">
        <f>'[1]2'!K21</f>
        <v>44757814</v>
      </c>
      <c r="Q8" s="367">
        <f>SUM(H8:P8)</f>
        <v>1656802891</v>
      </c>
      <c r="R8" s="351">
        <f>'[1]2'!K56</f>
        <v>1656802891</v>
      </c>
      <c r="S8" s="321">
        <f>Q8-R8</f>
        <v>0</v>
      </c>
      <c r="T8" s="368" t="s">
        <v>522</v>
      </c>
    </row>
    <row r="9" spans="1:26">
      <c r="A9" s="124"/>
      <c r="B9" s="124"/>
      <c r="C9" s="363">
        <v>17</v>
      </c>
      <c r="D9" s="364" t="s">
        <v>27</v>
      </c>
      <c r="E9" s="364" t="s">
        <v>28</v>
      </c>
      <c r="F9" s="364">
        <v>2025</v>
      </c>
      <c r="G9" s="365" t="s">
        <v>84</v>
      </c>
      <c r="H9" s="366"/>
      <c r="I9" s="366"/>
      <c r="J9" s="366"/>
      <c r="K9" s="366"/>
      <c r="L9" s="366"/>
      <c r="M9" s="366"/>
      <c r="N9" s="366"/>
      <c r="O9" s="366"/>
      <c r="P9" s="366"/>
      <c r="Q9" s="367">
        <f t="shared" si="0"/>
        <v>0</v>
      </c>
      <c r="S9" s="321"/>
    </row>
    <row r="10" spans="1:26">
      <c r="A10" s="124"/>
      <c r="B10" s="124"/>
      <c r="C10" s="363">
        <v>17</v>
      </c>
      <c r="D10" s="364"/>
      <c r="E10" s="364" t="s">
        <v>89</v>
      </c>
      <c r="F10" s="364">
        <v>2025</v>
      </c>
      <c r="G10" s="365"/>
      <c r="H10" s="366"/>
      <c r="I10" s="366"/>
      <c r="J10" s="366"/>
      <c r="K10" s="366"/>
      <c r="L10" s="366"/>
      <c r="M10" s="366"/>
      <c r="N10" s="366"/>
      <c r="O10" s="366"/>
      <c r="P10" s="366"/>
      <c r="Q10" s="367">
        <f>SUM(H10:P10)</f>
        <v>0</v>
      </c>
      <c r="S10" s="321"/>
    </row>
    <row r="11" spans="1:26">
      <c r="A11" s="124"/>
      <c r="B11" s="124"/>
      <c r="C11" s="369">
        <v>17</v>
      </c>
      <c r="D11" s="370"/>
      <c r="E11" s="370" t="s">
        <v>90</v>
      </c>
      <c r="F11" s="370">
        <v>2025</v>
      </c>
      <c r="G11" s="371"/>
      <c r="H11" s="372" t="e">
        <f>H8/H7*100</f>
        <v>#DIV/0!</v>
      </c>
      <c r="I11" s="372">
        <f t="shared" ref="I11:Q11" si="1">I8/I7*100</f>
        <v>99.9802958709395</v>
      </c>
      <c r="J11" s="372">
        <f t="shared" si="1"/>
        <v>99.864420102705793</v>
      </c>
      <c r="K11" s="372">
        <f t="shared" si="1"/>
        <v>97.577358181818184</v>
      </c>
      <c r="L11" s="372">
        <f t="shared" si="1"/>
        <v>97.508323487182551</v>
      </c>
      <c r="M11" s="372">
        <v>0</v>
      </c>
      <c r="N11" s="372">
        <v>0</v>
      </c>
      <c r="O11" s="372">
        <f t="shared" si="1"/>
        <v>99.99463447908694</v>
      </c>
      <c r="P11" s="372">
        <f t="shared" si="1"/>
        <v>99.541767472640743</v>
      </c>
      <c r="Q11" s="373">
        <f t="shared" si="1"/>
        <v>98.976663731206429</v>
      </c>
      <c r="S11" s="321"/>
    </row>
    <row r="12" spans="1:26" s="376" customFormat="1">
      <c r="A12" s="374"/>
      <c r="B12" s="374"/>
      <c r="C12" s="363">
        <v>17</v>
      </c>
      <c r="D12" s="364"/>
      <c r="E12" s="364" t="s">
        <v>108</v>
      </c>
      <c r="F12" s="364">
        <v>2025</v>
      </c>
      <c r="G12" s="365" t="s">
        <v>107</v>
      </c>
      <c r="H12" s="366"/>
      <c r="I12" s="366"/>
      <c r="J12" s="366"/>
      <c r="K12" s="366"/>
      <c r="L12" s="366"/>
      <c r="M12" s="375"/>
      <c r="N12" s="366"/>
      <c r="O12" s="366"/>
      <c r="P12" s="366"/>
      <c r="Q12" s="367">
        <f>SUM(H12:P12)</f>
        <v>0</v>
      </c>
      <c r="R12" s="296"/>
      <c r="S12" s="321"/>
    </row>
    <row r="13" spans="1:26">
      <c r="A13" s="124"/>
      <c r="B13" s="124"/>
      <c r="C13" s="363">
        <v>17</v>
      </c>
      <c r="D13" s="377" t="s">
        <v>184</v>
      </c>
      <c r="E13" s="377" t="s">
        <v>185</v>
      </c>
      <c r="F13" s="364">
        <v>2025</v>
      </c>
      <c r="G13" s="365" t="s">
        <v>81</v>
      </c>
      <c r="H13" s="366">
        <f>'Aneksi 2.0 Forcat e Luftimit'!F28</f>
        <v>10200000000</v>
      </c>
      <c r="I13" s="366">
        <f>'Aneksi 2.0 Forcat e Luftimit'!F25</f>
        <v>11201500000</v>
      </c>
      <c r="J13" s="366">
        <f>'Aneksi 2.0 Forcat e Luftimit'!F15</f>
        <v>3869168000</v>
      </c>
      <c r="K13" s="366">
        <f>'Aneksi 2.0 Forcat e Luftimit'!F16</f>
        <v>680000000</v>
      </c>
      <c r="L13" s="366">
        <f>'Aneksi 2.0 Forcat e Luftimit'!F17</f>
        <v>2863090000</v>
      </c>
      <c r="M13" s="375"/>
      <c r="N13" s="366"/>
      <c r="O13" s="366"/>
      <c r="P13" s="366">
        <f>'Aneksi 2.0 Forcat e Luftimit'!F21</f>
        <v>40000000</v>
      </c>
      <c r="Q13" s="367">
        <f>SUM(H13:P13)</f>
        <v>28853758000</v>
      </c>
      <c r="R13" s="351">
        <f>'Aneksi 2.0 Forcat e Luftimit'!F33</f>
        <v>28853758000</v>
      </c>
      <c r="S13" s="321">
        <f t="shared" ref="S13:S48" si="2">Q13-R13</f>
        <v>0</v>
      </c>
      <c r="T13" s="368" t="s">
        <v>522</v>
      </c>
      <c r="U13" s="321"/>
      <c r="V13" s="321"/>
      <c r="X13" s="321"/>
      <c r="Y13" s="321"/>
      <c r="Z13" s="321"/>
    </row>
    <row r="14" spans="1:26">
      <c r="A14" s="124"/>
      <c r="B14" s="124"/>
      <c r="C14" s="363">
        <v>17</v>
      </c>
      <c r="D14" s="377" t="s">
        <v>184</v>
      </c>
      <c r="E14" s="377" t="s">
        <v>185</v>
      </c>
      <c r="F14" s="364">
        <v>2025</v>
      </c>
      <c r="G14" s="365" t="s">
        <v>82</v>
      </c>
      <c r="H14" s="366">
        <f>'Aneksi 2.0 Forcat e Luftimit'!H28</f>
        <v>0</v>
      </c>
      <c r="I14" s="366">
        <f>'Aneksi 2.0 Forcat e Luftimit'!H25</f>
        <v>8836120000</v>
      </c>
      <c r="J14" s="366">
        <f>'Aneksi 2.0 Forcat e Luftimit'!H15</f>
        <v>4861643950</v>
      </c>
      <c r="K14" s="366">
        <f>'Aneksi 2.0 Forcat e Luftimit'!H16</f>
        <v>787160000</v>
      </c>
      <c r="L14" s="366">
        <f>'Aneksi 2.0 Forcat e Luftimit'!H17</f>
        <v>3523090000</v>
      </c>
      <c r="M14" s="366"/>
      <c r="N14" s="366"/>
      <c r="O14" s="366"/>
      <c r="P14" s="366">
        <f>'Aneksi 2.0 Forcat e Luftimit'!H21</f>
        <v>66240873</v>
      </c>
      <c r="Q14" s="367">
        <f>SUM(H14:P14)</f>
        <v>18074254823</v>
      </c>
      <c r="R14" s="351">
        <f>'Aneksi 2.0 Forcat e Luftimit'!H33</f>
        <v>18074254823</v>
      </c>
      <c r="S14" s="321">
        <f t="shared" si="2"/>
        <v>0</v>
      </c>
      <c r="T14" s="368" t="s">
        <v>522</v>
      </c>
    </row>
    <row r="15" spans="1:26">
      <c r="A15" s="124"/>
      <c r="B15" s="124"/>
      <c r="C15" s="363">
        <v>17</v>
      </c>
      <c r="D15" s="377" t="s">
        <v>184</v>
      </c>
      <c r="E15" s="377" t="s">
        <v>185</v>
      </c>
      <c r="F15" s="364">
        <v>2025</v>
      </c>
      <c r="G15" s="365" t="s">
        <v>107</v>
      </c>
      <c r="H15" s="366">
        <f>'Aneksi 2.0 Forcat e Luftimit'!K28</f>
        <v>0</v>
      </c>
      <c r="I15" s="366">
        <f>'Aneksi 2.0 Forcat e Luftimit'!K25</f>
        <v>8225662187.0900002</v>
      </c>
      <c r="J15" s="366">
        <f>'Aneksi 2.0 Forcat e Luftimit'!K15</f>
        <v>4851623432</v>
      </c>
      <c r="K15" s="366">
        <f>'Aneksi 2.0 Forcat e Luftimit'!K16</f>
        <v>784786628</v>
      </c>
      <c r="L15" s="366">
        <f>'Aneksi 2.0 Forcat e Luftimit'!K17</f>
        <v>3456990350.04</v>
      </c>
      <c r="M15" s="366"/>
      <c r="N15" s="366"/>
      <c r="O15" s="366"/>
      <c r="P15" s="366">
        <f>'Aneksi 2.0 Forcat e Luftimit'!K21</f>
        <v>62271942</v>
      </c>
      <c r="Q15" s="367">
        <f t="shared" ref="Q15:Q17" si="3">SUM(H15:P15)</f>
        <v>17381334539.130001</v>
      </c>
      <c r="R15" s="378">
        <f>'Aneksi 2.0 Forcat e Luftimit'!K33</f>
        <v>17381334539.130001</v>
      </c>
      <c r="S15" s="321">
        <f t="shared" si="2"/>
        <v>0</v>
      </c>
      <c r="T15" s="368" t="s">
        <v>522</v>
      </c>
      <c r="U15" s="321">
        <v>17381335000</v>
      </c>
    </row>
    <row r="16" spans="1:26">
      <c r="A16" s="124"/>
      <c r="B16" s="124"/>
      <c r="C16" s="363">
        <v>17</v>
      </c>
      <c r="D16" s="377" t="s">
        <v>184</v>
      </c>
      <c r="E16" s="377" t="s">
        <v>185</v>
      </c>
      <c r="F16" s="364">
        <v>2025</v>
      </c>
      <c r="G16" s="365" t="s">
        <v>84</v>
      </c>
      <c r="H16" s="366"/>
      <c r="I16" s="366"/>
      <c r="J16" s="366"/>
      <c r="K16" s="366"/>
      <c r="L16" s="366"/>
      <c r="M16" s="366"/>
      <c r="N16" s="366"/>
      <c r="O16" s="366"/>
      <c r="P16" s="366"/>
      <c r="Q16" s="367">
        <f t="shared" si="3"/>
        <v>0</v>
      </c>
      <c r="S16" s="321"/>
      <c r="U16" s="321">
        <f>Q15-U15</f>
        <v>-460.86999893188477</v>
      </c>
    </row>
    <row r="17" spans="1:20">
      <c r="A17" s="124"/>
      <c r="B17" s="124"/>
      <c r="C17" s="363">
        <v>17</v>
      </c>
      <c r="D17" s="364"/>
      <c r="E17" s="364" t="s">
        <v>89</v>
      </c>
      <c r="F17" s="364">
        <v>2025</v>
      </c>
      <c r="G17" s="365"/>
      <c r="H17" s="366"/>
      <c r="I17" s="366"/>
      <c r="J17" s="366"/>
      <c r="K17" s="366"/>
      <c r="L17" s="366"/>
      <c r="M17" s="366"/>
      <c r="N17" s="366"/>
      <c r="O17" s="366"/>
      <c r="P17" s="366"/>
      <c r="Q17" s="367">
        <f t="shared" si="3"/>
        <v>0</v>
      </c>
      <c r="S17" s="321"/>
    </row>
    <row r="18" spans="1:20">
      <c r="A18" s="124"/>
      <c r="B18" s="124"/>
      <c r="C18" s="369">
        <v>17</v>
      </c>
      <c r="D18" s="370"/>
      <c r="E18" s="370" t="s">
        <v>90</v>
      </c>
      <c r="F18" s="370">
        <v>2025</v>
      </c>
      <c r="G18" s="371"/>
      <c r="H18" s="372"/>
      <c r="I18" s="372">
        <f t="shared" ref="I18:Q18" si="4">I15/I14*100</f>
        <v>93.091336322843048</v>
      </c>
      <c r="J18" s="372">
        <f t="shared" si="4"/>
        <v>99.793886222375463</v>
      </c>
      <c r="K18" s="372">
        <f t="shared" si="4"/>
        <v>99.698489252502668</v>
      </c>
      <c r="L18" s="372">
        <f t="shared" si="4"/>
        <v>98.123816026272394</v>
      </c>
      <c r="M18" s="372">
        <v>0</v>
      </c>
      <c r="N18" s="372">
        <v>0</v>
      </c>
      <c r="O18" s="372">
        <v>0</v>
      </c>
      <c r="P18" s="372">
        <f t="shared" si="4"/>
        <v>94.008335306812768</v>
      </c>
      <c r="Q18" s="373">
        <f t="shared" si="4"/>
        <v>96.166258080038574</v>
      </c>
      <c r="S18" s="321"/>
    </row>
    <row r="19" spans="1:20" s="376" customFormat="1">
      <c r="A19" s="374"/>
      <c r="B19" s="374"/>
      <c r="C19" s="363">
        <v>17</v>
      </c>
      <c r="D19" s="377" t="s">
        <v>186</v>
      </c>
      <c r="E19" s="377" t="s">
        <v>187</v>
      </c>
      <c r="F19" s="364">
        <v>2025</v>
      </c>
      <c r="G19" s="379" t="s">
        <v>81</v>
      </c>
      <c r="H19" s="366"/>
      <c r="I19" s="366">
        <f>'123'!F25</f>
        <v>1558500000</v>
      </c>
      <c r="J19" s="366">
        <f>'123'!F15</f>
        <v>3188700000</v>
      </c>
      <c r="K19" s="366">
        <f>'123'!F16</f>
        <v>514300000</v>
      </c>
      <c r="L19" s="366">
        <f>'123'!F17</f>
        <v>2750686000</v>
      </c>
      <c r="M19" s="375"/>
      <c r="N19" s="366"/>
      <c r="O19" s="366"/>
      <c r="P19" s="366">
        <f>'123'!F21</f>
        <v>301250000</v>
      </c>
      <c r="Q19" s="367">
        <f>SUM(H19:P19)</f>
        <v>8313436000</v>
      </c>
      <c r="R19" s="353">
        <f>'123'!F30</f>
        <v>8313436000</v>
      </c>
      <c r="S19" s="380">
        <f t="shared" si="2"/>
        <v>0</v>
      </c>
      <c r="T19" s="376" t="s">
        <v>522</v>
      </c>
    </row>
    <row r="20" spans="1:20" s="376" customFormat="1">
      <c r="A20" s="374"/>
      <c r="B20" s="374"/>
      <c r="C20" s="363">
        <v>17</v>
      </c>
      <c r="D20" s="377" t="s">
        <v>186</v>
      </c>
      <c r="E20" s="377" t="s">
        <v>187</v>
      </c>
      <c r="F20" s="364">
        <v>2025</v>
      </c>
      <c r="G20" s="379" t="s">
        <v>82</v>
      </c>
      <c r="H20" s="366"/>
      <c r="I20" s="366">
        <f>'123'!H25</f>
        <v>2317855000</v>
      </c>
      <c r="J20" s="366">
        <f>'123'!H15</f>
        <v>3655358127</v>
      </c>
      <c r="K20" s="366">
        <f>'123'!H16</f>
        <v>605980000</v>
      </c>
      <c r="L20" s="366">
        <f>'123'!H17</f>
        <v>3110504000</v>
      </c>
      <c r="M20" s="366"/>
      <c r="N20" s="366"/>
      <c r="O20" s="366"/>
      <c r="P20" s="366">
        <f>'123'!H21</f>
        <v>288528999</v>
      </c>
      <c r="Q20" s="367">
        <f t="shared" ref="Q20:Q23" si="5">SUM(H20:P20)</f>
        <v>9978226126</v>
      </c>
      <c r="R20" s="353">
        <f>'123'!H49</f>
        <v>9978226126</v>
      </c>
      <c r="S20" s="380">
        <f t="shared" si="2"/>
        <v>0</v>
      </c>
      <c r="T20" s="376" t="s">
        <v>522</v>
      </c>
    </row>
    <row r="21" spans="1:20" s="376" customFormat="1">
      <c r="A21" s="374"/>
      <c r="B21" s="374"/>
      <c r="C21" s="363">
        <v>17</v>
      </c>
      <c r="D21" s="377" t="s">
        <v>186</v>
      </c>
      <c r="E21" s="377" t="s">
        <v>187</v>
      </c>
      <c r="F21" s="364">
        <v>2025</v>
      </c>
      <c r="G21" s="379" t="s">
        <v>107</v>
      </c>
      <c r="H21" s="366"/>
      <c r="I21" s="366">
        <f>'123'!K25</f>
        <v>2069971158.73</v>
      </c>
      <c r="J21" s="366">
        <f>'123'!K15</f>
        <v>3643746554</v>
      </c>
      <c r="K21" s="366">
        <f>'123'!K16</f>
        <v>600774044</v>
      </c>
      <c r="L21" s="366">
        <f>'123'!K17</f>
        <v>3041395813</v>
      </c>
      <c r="M21" s="366"/>
      <c r="N21" s="366"/>
      <c r="O21" s="366"/>
      <c r="P21" s="366">
        <f>'123'!K21</f>
        <v>273641145</v>
      </c>
      <c r="Q21" s="367">
        <f>SUM(H21:P21)</f>
        <v>9629528714.7299995</v>
      </c>
      <c r="R21" s="353">
        <f>'123'!K49</f>
        <v>9629528714.7299995</v>
      </c>
      <c r="S21" s="380">
        <f t="shared" si="2"/>
        <v>0</v>
      </c>
      <c r="T21" s="376" t="s">
        <v>522</v>
      </c>
    </row>
    <row r="22" spans="1:20" s="376" customFormat="1">
      <c r="A22" s="374"/>
      <c r="B22" s="374"/>
      <c r="C22" s="363">
        <v>17</v>
      </c>
      <c r="D22" s="377" t="s">
        <v>186</v>
      </c>
      <c r="E22" s="377" t="s">
        <v>187</v>
      </c>
      <c r="F22" s="364">
        <v>2025</v>
      </c>
      <c r="G22" s="379" t="s">
        <v>84</v>
      </c>
      <c r="H22" s="366"/>
      <c r="I22" s="366"/>
      <c r="J22" s="366"/>
      <c r="K22" s="366"/>
      <c r="L22" s="366"/>
      <c r="M22" s="366"/>
      <c r="N22" s="366"/>
      <c r="O22" s="366"/>
      <c r="P22" s="366"/>
      <c r="Q22" s="367">
        <f t="shared" si="5"/>
        <v>0</v>
      </c>
      <c r="R22" s="296"/>
      <c r="S22" s="380"/>
    </row>
    <row r="23" spans="1:20" s="376" customFormat="1">
      <c r="A23" s="374"/>
      <c r="B23" s="374"/>
      <c r="C23" s="363">
        <v>17</v>
      </c>
      <c r="D23" s="364"/>
      <c r="E23" s="364" t="s">
        <v>89</v>
      </c>
      <c r="F23" s="364">
        <v>2025</v>
      </c>
      <c r="G23" s="365"/>
      <c r="H23" s="366"/>
      <c r="I23" s="366"/>
      <c r="J23" s="366"/>
      <c r="K23" s="366"/>
      <c r="L23" s="366"/>
      <c r="M23" s="366"/>
      <c r="N23" s="366"/>
      <c r="O23" s="366"/>
      <c r="P23" s="366"/>
      <c r="Q23" s="367">
        <f t="shared" si="5"/>
        <v>0</v>
      </c>
      <c r="R23" s="296"/>
      <c r="S23" s="380"/>
    </row>
    <row r="24" spans="1:20">
      <c r="A24" s="124"/>
      <c r="B24" s="124"/>
      <c r="C24" s="369">
        <v>17</v>
      </c>
      <c r="D24" s="370"/>
      <c r="E24" s="370" t="s">
        <v>90</v>
      </c>
      <c r="F24" s="370">
        <v>2025</v>
      </c>
      <c r="G24" s="371"/>
      <c r="H24" s="372">
        <v>0</v>
      </c>
      <c r="I24" s="372">
        <f>I21/I20*100</f>
        <v>89.305463833156082</v>
      </c>
      <c r="J24" s="372">
        <f>J21/J20*100</f>
        <v>99.682341029344514</v>
      </c>
      <c r="K24" s="372">
        <f t="shared" ref="K24:Q24" si="6">K21/K20*100</f>
        <v>99.140903000099016</v>
      </c>
      <c r="L24" s="372">
        <f t="shared" si="6"/>
        <v>97.778231855673553</v>
      </c>
      <c r="M24" s="372">
        <v>0</v>
      </c>
      <c r="N24" s="372">
        <v>0</v>
      </c>
      <c r="O24" s="372">
        <v>0</v>
      </c>
      <c r="P24" s="372">
        <f t="shared" si="6"/>
        <v>94.840083994468785</v>
      </c>
      <c r="Q24" s="373">
        <f t="shared" si="6"/>
        <v>96.505416825928521</v>
      </c>
      <c r="S24" s="321"/>
    </row>
    <row r="25" spans="1:20">
      <c r="A25" s="124"/>
      <c r="B25" s="124"/>
      <c r="C25" s="363">
        <v>17</v>
      </c>
      <c r="D25" s="377" t="s">
        <v>188</v>
      </c>
      <c r="E25" s="377" t="s">
        <v>189</v>
      </c>
      <c r="F25" s="364">
        <v>2025</v>
      </c>
      <c r="G25" s="365" t="s">
        <v>81</v>
      </c>
      <c r="H25" s="366"/>
      <c r="I25" s="366">
        <f>'Aneksi 2.0 Mbësht .Shëndetësinë'!F25</f>
        <v>500000000</v>
      </c>
      <c r="J25" s="366">
        <f>'Aneksi 2.0 Mbësht .Shëndetësinë'!F15</f>
        <v>510836000</v>
      </c>
      <c r="K25" s="366">
        <f>'Aneksi 2.0 Mbësht .Shëndetësinë'!F16</f>
        <v>95000000</v>
      </c>
      <c r="L25" s="366">
        <f>'Aneksi 2.0 Mbësht .Shëndetësinë'!F17</f>
        <v>798164000</v>
      </c>
      <c r="M25" s="375"/>
      <c r="N25" s="366"/>
      <c r="O25" s="366"/>
      <c r="P25" s="366">
        <f>'Aneksi 2.0 Mbësht .Shëndetësinë'!F21</f>
        <v>2000000</v>
      </c>
      <c r="Q25" s="367">
        <f>SUM(H25:P25)</f>
        <v>1906000000</v>
      </c>
      <c r="R25" s="353">
        <f>'Aneksi 2.0 Mbësht .Shëndetësinë'!F30</f>
        <v>1906000000</v>
      </c>
      <c r="S25" s="321">
        <f t="shared" si="2"/>
        <v>0</v>
      </c>
      <c r="T25" s="368" t="s">
        <v>522</v>
      </c>
    </row>
    <row r="26" spans="1:20">
      <c r="A26" s="124"/>
      <c r="B26" s="124"/>
      <c r="C26" s="363">
        <v>17</v>
      </c>
      <c r="D26" s="377" t="s">
        <v>188</v>
      </c>
      <c r="E26" s="377" t="s">
        <v>189</v>
      </c>
      <c r="F26" s="364">
        <v>2025</v>
      </c>
      <c r="G26" s="365" t="s">
        <v>82</v>
      </c>
      <c r="H26" s="366"/>
      <c r="I26" s="366">
        <f>'Aneksi 2.0 Mbësht .Shëndetësinë'!H25</f>
        <v>197000000</v>
      </c>
      <c r="J26" s="366">
        <f>'Aneksi 2.0 Mbësht .Shëndetësinë'!H15</f>
        <v>702836000</v>
      </c>
      <c r="K26" s="366">
        <f>'Aneksi 2.0 Mbësht .Shëndetësinë'!H16</f>
        <v>117000000</v>
      </c>
      <c r="L26" s="366">
        <f>'Aneksi 2.0 Mbësht .Shëndetësinë'!H17</f>
        <v>898164000</v>
      </c>
      <c r="M26" s="366"/>
      <c r="N26" s="366"/>
      <c r="O26" s="366"/>
      <c r="P26" s="366">
        <f>'Aneksi 2.0 Mbësht .Shëndetësinë'!H21</f>
        <v>4439960</v>
      </c>
      <c r="Q26" s="367">
        <f t="shared" ref="Q26:Q45" si="7">SUM(H26:P26)</f>
        <v>1919439960</v>
      </c>
      <c r="R26" s="353">
        <f>'Aneksi 2.0 Mbësht .Shëndetësinë'!H30</f>
        <v>1919439960</v>
      </c>
      <c r="S26" s="321">
        <f t="shared" si="2"/>
        <v>0</v>
      </c>
      <c r="T26" s="368" t="s">
        <v>522</v>
      </c>
    </row>
    <row r="27" spans="1:20">
      <c r="A27" s="124"/>
      <c r="B27" s="124"/>
      <c r="C27" s="363">
        <v>17</v>
      </c>
      <c r="D27" s="377" t="s">
        <v>188</v>
      </c>
      <c r="E27" s="377" t="s">
        <v>189</v>
      </c>
      <c r="F27" s="364">
        <v>2025</v>
      </c>
      <c r="G27" s="365" t="s">
        <v>107</v>
      </c>
      <c r="H27" s="366"/>
      <c r="I27" s="366">
        <f>'Aneksi 2.0 Mbësht .Shëndetësinë'!K25</f>
        <v>193284800</v>
      </c>
      <c r="J27" s="366">
        <f>'Aneksi 2.0 Mbësht .Shëndetësinë'!K15</f>
        <v>695375308</v>
      </c>
      <c r="K27" s="366">
        <f>'Aneksi 2.0 Mbësht .Shëndetësinë'!K16</f>
        <v>114015591</v>
      </c>
      <c r="L27" s="366">
        <f>'Aneksi 2.0 Mbësht .Shëndetësinë'!K17</f>
        <v>895915200</v>
      </c>
      <c r="M27" s="366"/>
      <c r="N27" s="366"/>
      <c r="O27" s="366"/>
      <c r="P27" s="366">
        <f>'Aneksi 2.0 Mbësht .Shëndetësinë'!K21</f>
        <v>4406131</v>
      </c>
      <c r="Q27" s="367">
        <f>SUM(H27:P27)</f>
        <v>1902997030</v>
      </c>
      <c r="R27" s="353">
        <f>'Aneksi 2.0 Mbësht .Shëndetësinë'!K30</f>
        <v>1902997030</v>
      </c>
      <c r="S27" s="321">
        <f>Q27-R27</f>
        <v>0</v>
      </c>
      <c r="T27" s="368" t="s">
        <v>522</v>
      </c>
    </row>
    <row r="28" spans="1:20">
      <c r="A28" s="124"/>
      <c r="B28" s="124"/>
      <c r="C28" s="363">
        <v>17</v>
      </c>
      <c r="D28" s="377" t="s">
        <v>188</v>
      </c>
      <c r="E28" s="377" t="s">
        <v>189</v>
      </c>
      <c r="F28" s="364">
        <v>2025</v>
      </c>
      <c r="G28" s="365" t="s">
        <v>84</v>
      </c>
      <c r="H28" s="366"/>
      <c r="I28" s="366"/>
      <c r="J28" s="366"/>
      <c r="K28" s="366"/>
      <c r="L28" s="366"/>
      <c r="M28" s="366"/>
      <c r="N28" s="366"/>
      <c r="O28" s="366"/>
      <c r="P28" s="366"/>
      <c r="Q28" s="367">
        <f t="shared" si="7"/>
        <v>0</v>
      </c>
      <c r="S28" s="321"/>
    </row>
    <row r="29" spans="1:20">
      <c r="A29" s="124"/>
      <c r="B29" s="124"/>
      <c r="C29" s="363">
        <v>17</v>
      </c>
      <c r="D29" s="364"/>
      <c r="E29" s="364" t="s">
        <v>89</v>
      </c>
      <c r="F29" s="364">
        <v>2025</v>
      </c>
      <c r="G29" s="365"/>
      <c r="H29" s="366"/>
      <c r="I29" s="366"/>
      <c r="J29" s="366"/>
      <c r="K29" s="366"/>
      <c r="L29" s="366"/>
      <c r="M29" s="366"/>
      <c r="N29" s="366"/>
      <c r="O29" s="366"/>
      <c r="P29" s="366"/>
      <c r="Q29" s="367">
        <f t="shared" si="7"/>
        <v>0</v>
      </c>
      <c r="S29" s="321"/>
    </row>
    <row r="30" spans="1:20">
      <c r="A30" s="124"/>
      <c r="B30" s="124"/>
      <c r="C30" s="369">
        <v>17</v>
      </c>
      <c r="D30" s="370"/>
      <c r="E30" s="370" t="s">
        <v>90</v>
      </c>
      <c r="F30" s="370">
        <v>2025</v>
      </c>
      <c r="G30" s="371"/>
      <c r="H30" s="372">
        <v>0</v>
      </c>
      <c r="I30" s="372">
        <f>I27/I26*100</f>
        <v>98.114111675126907</v>
      </c>
      <c r="J30" s="372">
        <f t="shared" ref="J30:Q30" si="8">J27/J26*100</f>
        <v>98.938487499217459</v>
      </c>
      <c r="K30" s="372">
        <f t="shared" si="8"/>
        <v>97.449223076923076</v>
      </c>
      <c r="L30" s="372">
        <f t="shared" si="8"/>
        <v>99.749622563362593</v>
      </c>
      <c r="M30" s="372">
        <v>0</v>
      </c>
      <c r="N30" s="372">
        <v>0</v>
      </c>
      <c r="O30" s="372">
        <v>0</v>
      </c>
      <c r="P30" s="372">
        <f t="shared" si="8"/>
        <v>99.238078721429929</v>
      </c>
      <c r="Q30" s="373">
        <f t="shared" si="8"/>
        <v>99.143347521013368</v>
      </c>
      <c r="S30" s="321"/>
    </row>
    <row r="31" spans="1:20">
      <c r="A31" s="124"/>
      <c r="B31" s="124"/>
      <c r="C31" s="363">
        <v>17</v>
      </c>
      <c r="D31" s="364"/>
      <c r="E31" s="364" t="s">
        <v>108</v>
      </c>
      <c r="F31" s="364">
        <v>2025</v>
      </c>
      <c r="G31" s="365" t="s">
        <v>107</v>
      </c>
      <c r="H31" s="366"/>
      <c r="I31" s="366"/>
      <c r="J31" s="366"/>
      <c r="K31" s="366"/>
      <c r="L31" s="366"/>
      <c r="M31" s="375"/>
      <c r="N31" s="366"/>
      <c r="O31" s="366"/>
      <c r="P31" s="366"/>
      <c r="Q31" s="367">
        <f t="shared" ref="Q31" si="9">SUM(H31:P31)</f>
        <v>0</v>
      </c>
      <c r="S31" s="321"/>
    </row>
    <row r="32" spans="1:20">
      <c r="A32" s="124"/>
      <c r="B32" s="124"/>
      <c r="C32" s="363">
        <v>17</v>
      </c>
      <c r="D32" s="377" t="s">
        <v>190</v>
      </c>
      <c r="E32" s="377" t="s">
        <v>191</v>
      </c>
      <c r="F32" s="364">
        <v>2025</v>
      </c>
      <c r="G32" s="365" t="s">
        <v>81</v>
      </c>
      <c r="H32" s="366"/>
      <c r="I32" s="366">
        <v>557000000</v>
      </c>
      <c r="J32" s="366">
        <v>549000000</v>
      </c>
      <c r="K32" s="366">
        <v>100000000</v>
      </c>
      <c r="L32" s="366">
        <v>81000000</v>
      </c>
      <c r="M32" s="366">
        <v>0</v>
      </c>
      <c r="N32" s="366"/>
      <c r="O32" s="366">
        <v>0</v>
      </c>
      <c r="P32" s="367">
        <v>140000000</v>
      </c>
      <c r="Q32" s="367">
        <f>SUM(H32:P32)</f>
        <v>1427000000</v>
      </c>
      <c r="R32" s="353" t="e">
        <f>'Aneksi 2.0 Arsimi Ushtarak'!#REF!</f>
        <v>#REF!</v>
      </c>
      <c r="S32" s="321" t="e">
        <f>Q32-R32</f>
        <v>#REF!</v>
      </c>
      <c r="T32" s="368" t="s">
        <v>522</v>
      </c>
    </row>
    <row r="33" spans="1:21">
      <c r="A33" s="124"/>
      <c r="B33" s="124"/>
      <c r="C33" s="363">
        <v>17</v>
      </c>
      <c r="D33" s="377" t="s">
        <v>190</v>
      </c>
      <c r="E33" s="377" t="s">
        <v>191</v>
      </c>
      <c r="F33" s="364">
        <v>2025</v>
      </c>
      <c r="G33" s="365" t="s">
        <v>82</v>
      </c>
      <c r="H33" s="366"/>
      <c r="I33" s="366">
        <v>462031000</v>
      </c>
      <c r="J33" s="366">
        <v>503290000</v>
      </c>
      <c r="K33" s="366">
        <v>119700000</v>
      </c>
      <c r="L33" s="366">
        <v>107510000</v>
      </c>
      <c r="M33" s="366">
        <v>0</v>
      </c>
      <c r="N33" s="366"/>
      <c r="O33" s="366">
        <v>0</v>
      </c>
      <c r="P33" s="367">
        <v>259270855</v>
      </c>
      <c r="Q33" s="367">
        <f t="shared" si="7"/>
        <v>1451801855</v>
      </c>
      <c r="R33" s="353" t="e">
        <f>'Aneksi 2.0 Arsimi Ushtarak'!#REF!</f>
        <v>#REF!</v>
      </c>
      <c r="S33" s="321" t="e">
        <f t="shared" si="2"/>
        <v>#REF!</v>
      </c>
      <c r="T33" s="368" t="s">
        <v>522</v>
      </c>
    </row>
    <row r="34" spans="1:21">
      <c r="A34" s="124"/>
      <c r="B34" s="124"/>
      <c r="C34" s="363">
        <v>17</v>
      </c>
      <c r="D34" s="377" t="s">
        <v>190</v>
      </c>
      <c r="E34" s="377" t="s">
        <v>191</v>
      </c>
      <c r="F34" s="364">
        <v>2025</v>
      </c>
      <c r="G34" s="365" t="s">
        <v>107</v>
      </c>
      <c r="H34" s="366"/>
      <c r="I34" s="366">
        <v>396904849</v>
      </c>
      <c r="J34" s="366">
        <v>478323136</v>
      </c>
      <c r="K34" s="366">
        <v>117426725</v>
      </c>
      <c r="L34" s="366">
        <v>100983829</v>
      </c>
      <c r="M34" s="366">
        <v>0</v>
      </c>
      <c r="N34" s="366"/>
      <c r="O34" s="366">
        <v>0</v>
      </c>
      <c r="P34" s="367">
        <v>249232266</v>
      </c>
      <c r="Q34" s="367">
        <f>SUM(H34:P34)</f>
        <v>1342870805</v>
      </c>
      <c r="R34" s="353" t="e">
        <f>'Aneksi 2.0 Arsimi Ushtarak'!#REF!</f>
        <v>#REF!</v>
      </c>
      <c r="S34" s="321" t="e">
        <f t="shared" si="2"/>
        <v>#REF!</v>
      </c>
      <c r="T34" s="368" t="s">
        <v>522</v>
      </c>
    </row>
    <row r="35" spans="1:21">
      <c r="A35" s="124"/>
      <c r="B35" s="124"/>
      <c r="C35" s="363">
        <v>17</v>
      </c>
      <c r="D35" s="377" t="s">
        <v>190</v>
      </c>
      <c r="E35" s="377" t="s">
        <v>191</v>
      </c>
      <c r="F35" s="364">
        <v>2025</v>
      </c>
      <c r="G35" s="365" t="s">
        <v>84</v>
      </c>
      <c r="H35" s="366"/>
      <c r="I35" s="366"/>
      <c r="J35" s="366"/>
      <c r="K35" s="366"/>
      <c r="L35" s="366"/>
      <c r="M35" s="366"/>
      <c r="N35" s="366"/>
      <c r="O35" s="366"/>
      <c r="P35" s="366"/>
      <c r="Q35" s="367">
        <f t="shared" ref="Q35:Q36" si="10">SUM(H35:P35)</f>
        <v>0</v>
      </c>
      <c r="S35" s="321"/>
    </row>
    <row r="36" spans="1:21">
      <c r="A36" s="124"/>
      <c r="B36" s="124"/>
      <c r="C36" s="363">
        <v>17</v>
      </c>
      <c r="D36" s="364"/>
      <c r="E36" s="364" t="s">
        <v>89</v>
      </c>
      <c r="F36" s="364">
        <v>2025</v>
      </c>
      <c r="G36" s="365"/>
      <c r="H36" s="366"/>
      <c r="I36" s="366"/>
      <c r="J36" s="366"/>
      <c r="K36" s="366"/>
      <c r="L36" s="366"/>
      <c r="M36" s="366"/>
      <c r="N36" s="366"/>
      <c r="O36" s="366"/>
      <c r="P36" s="366"/>
      <c r="Q36" s="367">
        <f t="shared" si="10"/>
        <v>0</v>
      </c>
      <c r="S36" s="321"/>
    </row>
    <row r="37" spans="1:21">
      <c r="A37" s="124"/>
      <c r="B37" s="124"/>
      <c r="C37" s="369">
        <v>17</v>
      </c>
      <c r="D37" s="370"/>
      <c r="E37" s="370" t="s">
        <v>90</v>
      </c>
      <c r="F37" s="370">
        <v>2025</v>
      </c>
      <c r="G37" s="371"/>
      <c r="H37" s="372">
        <v>0</v>
      </c>
      <c r="I37" s="372">
        <f>I34/I33*100</f>
        <v>85.904376329726801</v>
      </c>
      <c r="J37" s="372">
        <f>J34/J33*100</f>
        <v>95.039268811222158</v>
      </c>
      <c r="K37" s="372">
        <f t="shared" ref="K37:L37" si="11">K34/K33*100</f>
        <v>98.100856307435265</v>
      </c>
      <c r="L37" s="372">
        <f t="shared" si="11"/>
        <v>93.929707934145654</v>
      </c>
      <c r="M37" s="372">
        <v>0</v>
      </c>
      <c r="N37" s="372">
        <v>0</v>
      </c>
      <c r="O37" s="372">
        <v>0</v>
      </c>
      <c r="P37" s="372">
        <f t="shared" ref="P37:Q37" si="12">P34/P33*100</f>
        <v>96.128145988487603</v>
      </c>
      <c r="Q37" s="373">
        <f t="shared" si="12"/>
        <v>92.496837662464628</v>
      </c>
      <c r="S37" s="321"/>
    </row>
    <row r="38" spans="1:21">
      <c r="A38" s="124"/>
      <c r="B38" s="124"/>
      <c r="C38" s="363">
        <v>17</v>
      </c>
      <c r="D38" s="364"/>
      <c r="E38" s="364" t="s">
        <v>108</v>
      </c>
      <c r="F38" s="364">
        <v>2025</v>
      </c>
      <c r="G38" s="365" t="s">
        <v>107</v>
      </c>
      <c r="H38" s="366"/>
      <c r="I38" s="366"/>
      <c r="J38" s="366"/>
      <c r="K38" s="366"/>
      <c r="L38" s="366"/>
      <c r="M38" s="375"/>
      <c r="N38" s="366"/>
      <c r="O38" s="366"/>
      <c r="P38" s="366"/>
      <c r="Q38" s="367">
        <f t="shared" ref="Q38" si="13">SUM(H38:P38)</f>
        <v>0</v>
      </c>
      <c r="S38" s="321"/>
    </row>
    <row r="39" spans="1:21">
      <c r="A39" s="124"/>
      <c r="B39" s="124"/>
      <c r="C39" s="363">
        <v>17</v>
      </c>
      <c r="D39" s="377" t="s">
        <v>192</v>
      </c>
      <c r="E39" s="377" t="s">
        <v>193</v>
      </c>
      <c r="F39" s="364">
        <v>2025</v>
      </c>
      <c r="G39" s="365" t="s">
        <v>81</v>
      </c>
      <c r="H39" s="366"/>
      <c r="I39" s="366"/>
      <c r="J39" s="366"/>
      <c r="K39" s="366"/>
      <c r="L39" s="366"/>
      <c r="M39" s="375"/>
      <c r="N39" s="366">
        <f>'Aneksi 2.0 Mbeshtet. Ushtaraket'!F19</f>
        <v>5200000000</v>
      </c>
      <c r="O39" s="366"/>
      <c r="P39" s="366"/>
      <c r="Q39" s="367">
        <f>SUM(H39:P39)</f>
        <v>5200000000</v>
      </c>
      <c r="R39" s="353">
        <f>'Aneksi 2.0 Mbeshtet. Ushtaraket'!F30</f>
        <v>5200000000</v>
      </c>
      <c r="S39" s="321">
        <f t="shared" si="2"/>
        <v>0</v>
      </c>
      <c r="T39" s="368" t="s">
        <v>522</v>
      </c>
    </row>
    <row r="40" spans="1:21">
      <c r="A40" s="124"/>
      <c r="B40" s="124"/>
      <c r="C40" s="363">
        <v>17</v>
      </c>
      <c r="D40" s="377" t="s">
        <v>192</v>
      </c>
      <c r="E40" s="377" t="s">
        <v>193</v>
      </c>
      <c r="F40" s="364">
        <v>2025</v>
      </c>
      <c r="G40" s="365" t="s">
        <v>82</v>
      </c>
      <c r="H40" s="366"/>
      <c r="I40" s="366"/>
      <c r="J40" s="366"/>
      <c r="K40" s="366"/>
      <c r="L40" s="366"/>
      <c r="M40" s="366"/>
      <c r="N40" s="366">
        <f>'Aneksi 2.0 Mbeshtet. Ushtaraket'!H22</f>
        <v>5228958000</v>
      </c>
      <c r="O40" s="366"/>
      <c r="P40" s="366"/>
      <c r="Q40" s="367">
        <f t="shared" ref="Q40:Q43" si="14">SUM(H40:P40)</f>
        <v>5228958000</v>
      </c>
      <c r="R40" s="353">
        <f>'Aneksi 2.0 Mbeshtet. Ushtaraket'!H22</f>
        <v>5228958000</v>
      </c>
      <c r="S40" s="321">
        <f t="shared" si="2"/>
        <v>0</v>
      </c>
      <c r="T40" s="368" t="s">
        <v>522</v>
      </c>
    </row>
    <row r="41" spans="1:21">
      <c r="A41" s="124"/>
      <c r="B41" s="124"/>
      <c r="C41" s="363">
        <v>17</v>
      </c>
      <c r="D41" s="377" t="s">
        <v>192</v>
      </c>
      <c r="E41" s="377" t="s">
        <v>193</v>
      </c>
      <c r="F41" s="364">
        <v>2025</v>
      </c>
      <c r="G41" s="365" t="s">
        <v>107</v>
      </c>
      <c r="H41" s="366"/>
      <c r="I41" s="366"/>
      <c r="J41" s="366"/>
      <c r="K41" s="366"/>
      <c r="L41" s="366"/>
      <c r="M41" s="366"/>
      <c r="N41" s="366">
        <f>'Aneksi 2.0 Mbeshtet. Ushtaraket'!K19</f>
        <v>5228958000</v>
      </c>
      <c r="O41" s="366"/>
      <c r="P41" s="366"/>
      <c r="Q41" s="367">
        <f t="shared" si="14"/>
        <v>5228958000</v>
      </c>
      <c r="R41" s="351">
        <f>'Aneksi 2.0 Mbeshtet. Ushtaraket'!K30</f>
        <v>5228958000</v>
      </c>
      <c r="S41" s="321">
        <f t="shared" si="2"/>
        <v>0</v>
      </c>
      <c r="T41" s="368" t="s">
        <v>522</v>
      </c>
      <c r="U41" s="38">
        <v>5228958000</v>
      </c>
    </row>
    <row r="42" spans="1:21">
      <c r="A42" s="124"/>
      <c r="B42" s="124"/>
      <c r="C42" s="363">
        <v>17</v>
      </c>
      <c r="D42" s="377" t="s">
        <v>192</v>
      </c>
      <c r="E42" s="377" t="s">
        <v>193</v>
      </c>
      <c r="F42" s="364">
        <v>2025</v>
      </c>
      <c r="G42" s="365" t="s">
        <v>84</v>
      </c>
      <c r="H42" s="366"/>
      <c r="I42" s="366"/>
      <c r="J42" s="366"/>
      <c r="K42" s="366"/>
      <c r="L42" s="366"/>
      <c r="M42" s="366"/>
      <c r="N42" s="366"/>
      <c r="O42" s="366"/>
      <c r="P42" s="366"/>
      <c r="Q42" s="367">
        <f t="shared" si="14"/>
        <v>0</v>
      </c>
      <c r="S42" s="321"/>
      <c r="U42" s="321">
        <f>U41-R41</f>
        <v>0</v>
      </c>
    </row>
    <row r="43" spans="1:21">
      <c r="A43" s="124"/>
      <c r="B43" s="124"/>
      <c r="C43" s="363">
        <v>17</v>
      </c>
      <c r="D43" s="364"/>
      <c r="E43" s="364" t="s">
        <v>89</v>
      </c>
      <c r="F43" s="364">
        <v>2025</v>
      </c>
      <c r="G43" s="365"/>
      <c r="H43" s="366"/>
      <c r="I43" s="366"/>
      <c r="J43" s="366"/>
      <c r="K43" s="366"/>
      <c r="L43" s="366"/>
      <c r="M43" s="366"/>
      <c r="N43" s="366"/>
      <c r="O43" s="366"/>
      <c r="P43" s="366"/>
      <c r="Q43" s="367">
        <f t="shared" si="14"/>
        <v>0</v>
      </c>
      <c r="S43" s="321"/>
    </row>
    <row r="44" spans="1:21">
      <c r="A44" s="124"/>
      <c r="B44" s="124"/>
      <c r="C44" s="369">
        <v>17</v>
      </c>
      <c r="D44" s="370"/>
      <c r="E44" s="370" t="s">
        <v>90</v>
      </c>
      <c r="F44" s="370">
        <v>2025</v>
      </c>
      <c r="G44" s="371"/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f t="shared" ref="N44:Q44" si="15">N41/N40*100</f>
        <v>100</v>
      </c>
      <c r="O44" s="372">
        <v>0</v>
      </c>
      <c r="P44" s="372">
        <v>0</v>
      </c>
      <c r="Q44" s="373">
        <f t="shared" si="15"/>
        <v>100</v>
      </c>
      <c r="S44" s="321"/>
    </row>
    <row r="45" spans="1:21">
      <c r="A45" s="124"/>
      <c r="B45" s="124"/>
      <c r="C45" s="363">
        <v>17</v>
      </c>
      <c r="D45" s="364"/>
      <c r="E45" s="364" t="s">
        <v>108</v>
      </c>
      <c r="F45" s="364">
        <v>2025</v>
      </c>
      <c r="G45" s="365" t="s">
        <v>107</v>
      </c>
      <c r="H45" s="366"/>
      <c r="I45" s="366"/>
      <c r="J45" s="366"/>
      <c r="K45" s="366"/>
      <c r="L45" s="366"/>
      <c r="M45" s="375"/>
      <c r="N45" s="366"/>
      <c r="O45" s="366"/>
      <c r="P45" s="366"/>
      <c r="Q45" s="367">
        <f t="shared" si="7"/>
        <v>0</v>
      </c>
      <c r="S45" s="321"/>
    </row>
    <row r="46" spans="1:21">
      <c r="A46" s="124"/>
      <c r="B46" s="124"/>
      <c r="C46" s="363">
        <v>17</v>
      </c>
      <c r="D46" s="377" t="s">
        <v>194</v>
      </c>
      <c r="E46" s="377" t="s">
        <v>195</v>
      </c>
      <c r="F46" s="364">
        <v>2025</v>
      </c>
      <c r="G46" s="365" t="s">
        <v>81</v>
      </c>
      <c r="H46" s="366">
        <f>'Aneksi 2.0 Emergjencat Civile'!F28</f>
        <v>2012050000</v>
      </c>
      <c r="I46" s="366">
        <f>'Aneksi 2.0 Emergjencat Civile'!F25</f>
        <v>2000000000</v>
      </c>
      <c r="J46" s="366">
        <f>'Aneksi 2.0 Emergjencat Civile'!F15</f>
        <v>164000000</v>
      </c>
      <c r="K46" s="366">
        <f>'Aneksi 2.0 Emergjencat Civile'!F16</f>
        <v>27000000</v>
      </c>
      <c r="L46" s="366">
        <f>'Aneksi 2.0 Emergjencat Civile'!F17</f>
        <v>441000000</v>
      </c>
      <c r="M46" s="375"/>
      <c r="N46" s="366">
        <f>'Aneksi 2.0 Emergjencat Civile'!F19</f>
        <v>800000000</v>
      </c>
      <c r="O46" s="366">
        <f>'Aneksi 2.0 Emergjencat Civile'!F20</f>
        <v>18000000</v>
      </c>
      <c r="P46" s="366">
        <f>'Aneksi 2.0 Emergjencat Civile'!F21</f>
        <v>0</v>
      </c>
      <c r="Q46" s="367">
        <f>SUM(H46:P46)</f>
        <v>5462050000</v>
      </c>
      <c r="R46" s="353">
        <f>'Aneksi 2.0 Emergjencat Civile'!F30</f>
        <v>5462050000</v>
      </c>
      <c r="S46" s="321">
        <f>Q46-R46</f>
        <v>0</v>
      </c>
      <c r="T46" s="368" t="s">
        <v>522</v>
      </c>
    </row>
    <row r="47" spans="1:21">
      <c r="A47" s="124"/>
      <c r="B47" s="124"/>
      <c r="C47" s="363">
        <v>17</v>
      </c>
      <c r="D47" s="377" t="s">
        <v>194</v>
      </c>
      <c r="E47" s="377" t="s">
        <v>195</v>
      </c>
      <c r="F47" s="364">
        <v>2025</v>
      </c>
      <c r="G47" s="365" t="s">
        <v>82</v>
      </c>
      <c r="H47" s="381">
        <f>'Aneksi 2.0 Emergjencat Civile'!H28</f>
        <v>1012050000</v>
      </c>
      <c r="I47" s="366">
        <f>'Aneksi 2.0 Emergjencat Civile'!H25</f>
        <v>1814180000</v>
      </c>
      <c r="J47" s="366">
        <f>'Aneksi 2.0 Emergjencat Civile'!H15</f>
        <v>205402021</v>
      </c>
      <c r="K47" s="366">
        <f>'Aneksi 2.0 Emergjencat Civile'!H16</f>
        <v>35020000</v>
      </c>
      <c r="L47" s="366">
        <f>'Aneksi 2.0 Emergjencat Civile'!H17</f>
        <v>281000000</v>
      </c>
      <c r="M47" s="366"/>
      <c r="N47" s="366">
        <f>'Aneksi 2.0 Emergjencat Civile'!H19</f>
        <v>639272000</v>
      </c>
      <c r="O47" s="366">
        <f>'Aneksi 2.0 Emergjencat Civile'!H20</f>
        <v>11000000</v>
      </c>
      <c r="P47" s="366">
        <f>'Aneksi 2.0 Emergjencat Civile'!H21</f>
        <v>985460</v>
      </c>
      <c r="Q47" s="367">
        <f>SUM(I47:P47)</f>
        <v>2986859481</v>
      </c>
      <c r="R47" s="353">
        <f>'Aneksi 2.0 Emergjencat Civile'!H30</f>
        <v>3998909481</v>
      </c>
      <c r="S47" s="321">
        <f t="shared" si="2"/>
        <v>-1012050000</v>
      </c>
      <c r="T47" s="368" t="s">
        <v>522</v>
      </c>
    </row>
    <row r="48" spans="1:21">
      <c r="A48" s="124"/>
      <c r="B48" s="124"/>
      <c r="C48" s="363">
        <v>17</v>
      </c>
      <c r="D48" s="377" t="s">
        <v>194</v>
      </c>
      <c r="E48" s="377" t="s">
        <v>195</v>
      </c>
      <c r="F48" s="364">
        <v>2025</v>
      </c>
      <c r="G48" s="365" t="s">
        <v>107</v>
      </c>
      <c r="H48" s="381">
        <f>'Aneksi 2.0 Emergjencat Civile'!K28</f>
        <v>51337272</v>
      </c>
      <c r="I48" s="366">
        <f>'Aneksi 2.0 Emergjencat Civile'!K25</f>
        <v>1327225824</v>
      </c>
      <c r="J48" s="366">
        <f>'Aneksi 2.0 Emergjencat Civile'!K15</f>
        <v>202443357</v>
      </c>
      <c r="K48" s="366">
        <f>'Aneksi 2.0 Emergjencat Civile'!K16</f>
        <v>32774835</v>
      </c>
      <c r="L48" s="366">
        <f>'Aneksi 2.0 Emergjencat Civile'!K17</f>
        <v>236139724</v>
      </c>
      <c r="M48" s="366"/>
      <c r="N48" s="366">
        <f>'Aneksi 2.0 Emergjencat Civile'!K19</f>
        <v>590130885.82999992</v>
      </c>
      <c r="O48" s="366">
        <f>'Aneksi 2.0 Emergjencat Civile'!K20</f>
        <v>10978573</v>
      </c>
      <c r="P48" s="366">
        <f>'Aneksi 2.0 Emergjencat Civile'!K21</f>
        <v>623755</v>
      </c>
      <c r="Q48" s="367">
        <f>SUM(I48:P48)</f>
        <v>2400316953.8299999</v>
      </c>
      <c r="R48" s="353">
        <f>'Aneksi 2.0 Emergjencat Civile'!K30</f>
        <v>2451654225.8299999</v>
      </c>
      <c r="S48" s="321">
        <f t="shared" si="2"/>
        <v>-51337272</v>
      </c>
      <c r="T48" s="368" t="s">
        <v>522</v>
      </c>
    </row>
    <row r="49" spans="1:19">
      <c r="A49" s="124"/>
      <c r="B49" s="124"/>
      <c r="C49" s="363">
        <v>17</v>
      </c>
      <c r="D49" s="377" t="s">
        <v>194</v>
      </c>
      <c r="E49" s="377" t="s">
        <v>195</v>
      </c>
      <c r="F49" s="364">
        <v>2025</v>
      </c>
      <c r="G49" s="365" t="s">
        <v>84</v>
      </c>
      <c r="H49" s="381"/>
      <c r="I49" s="366"/>
      <c r="J49" s="366"/>
      <c r="K49" s="366"/>
      <c r="L49" s="366"/>
      <c r="M49" s="366"/>
      <c r="N49" s="366"/>
      <c r="O49" s="366"/>
      <c r="P49" s="366"/>
      <c r="Q49" s="367">
        <f t="shared" ref="Q49:Q50" si="16">SUM(H49:P49)</f>
        <v>0</v>
      </c>
      <c r="S49" s="321"/>
    </row>
    <row r="50" spans="1:19">
      <c r="A50" s="124"/>
      <c r="B50" s="124"/>
      <c r="C50" s="363">
        <v>17</v>
      </c>
      <c r="D50" s="364"/>
      <c r="E50" s="364" t="s">
        <v>89</v>
      </c>
      <c r="F50" s="364">
        <v>2025</v>
      </c>
      <c r="G50" s="365"/>
      <c r="H50" s="366"/>
      <c r="I50" s="366"/>
      <c r="J50" s="366"/>
      <c r="K50" s="366"/>
      <c r="L50" s="366"/>
      <c r="M50" s="366"/>
      <c r="N50" s="366"/>
      <c r="O50" s="366"/>
      <c r="P50" s="366"/>
      <c r="Q50" s="367">
        <f t="shared" si="16"/>
        <v>0</v>
      </c>
      <c r="S50" s="321"/>
    </row>
    <row r="51" spans="1:19">
      <c r="A51" s="124"/>
      <c r="B51" s="124"/>
      <c r="C51" s="369">
        <v>17</v>
      </c>
      <c r="D51" s="370"/>
      <c r="E51" s="370" t="s">
        <v>90</v>
      </c>
      <c r="F51" s="370">
        <v>2025</v>
      </c>
      <c r="G51" s="371"/>
      <c r="H51" s="372">
        <v>0</v>
      </c>
      <c r="I51" s="372">
        <f t="shared" ref="I51:Q51" si="17">I48/I47*100</f>
        <v>73.15844205095415</v>
      </c>
      <c r="J51" s="372">
        <f>J48/J47*100</f>
        <v>98.559574055992371</v>
      </c>
      <c r="K51" s="372">
        <f t="shared" si="17"/>
        <v>93.588906339234725</v>
      </c>
      <c r="L51" s="372">
        <f t="shared" si="17"/>
        <v>84.035488967971531</v>
      </c>
      <c r="M51" s="372">
        <v>0</v>
      </c>
      <c r="N51" s="372">
        <v>0</v>
      </c>
      <c r="O51" s="372">
        <v>0</v>
      </c>
      <c r="P51" s="372">
        <f t="shared" si="17"/>
        <v>63.295821240841846</v>
      </c>
      <c r="Q51" s="373">
        <f t="shared" si="17"/>
        <v>80.362567074175658</v>
      </c>
      <c r="S51" s="321"/>
    </row>
    <row r="52" spans="1:19">
      <c r="A52" s="124"/>
      <c r="B52" s="124"/>
      <c r="C52" s="363">
        <v>17</v>
      </c>
      <c r="D52" s="364"/>
      <c r="E52" s="364" t="s">
        <v>109</v>
      </c>
      <c r="F52" s="364">
        <v>2025</v>
      </c>
      <c r="G52" s="365" t="s">
        <v>81</v>
      </c>
      <c r="H52" s="366">
        <f>H6+H13+H19+H25+H32+H39+H46</f>
        <v>12212050000</v>
      </c>
      <c r="I52" s="366">
        <f>I6+I13+I19+I25+I32+I39+I46</f>
        <v>15937000000</v>
      </c>
      <c r="J52" s="366">
        <f t="shared" ref="J52:P52" si="18">J6+J13+J19+J25+J32+J39+J46</f>
        <v>8866684000</v>
      </c>
      <c r="K52" s="366">
        <f t="shared" si="18"/>
        <v>1526300000</v>
      </c>
      <c r="L52" s="366">
        <f t="shared" si="18"/>
        <v>7333836000</v>
      </c>
      <c r="M52" s="366">
        <f t="shared" si="18"/>
        <v>0</v>
      </c>
      <c r="N52" s="366">
        <f t="shared" si="18"/>
        <v>6000000000</v>
      </c>
      <c r="O52" s="366">
        <f t="shared" si="18"/>
        <v>293424000</v>
      </c>
      <c r="P52" s="366">
        <f t="shared" si="18"/>
        <v>516250000</v>
      </c>
      <c r="Q52" s="373">
        <f>Q6+Q13+Q19+Q25+Q32+Q39+Q46</f>
        <v>52685544000</v>
      </c>
      <c r="R52" s="353">
        <f>'Aneksi nr.1.1'!Q20</f>
        <v>52685544000</v>
      </c>
      <c r="S52" s="321">
        <f>R52-Q52</f>
        <v>0</v>
      </c>
    </row>
    <row r="53" spans="1:19">
      <c r="A53" s="124"/>
      <c r="B53" s="124"/>
      <c r="C53" s="363">
        <v>17</v>
      </c>
      <c r="D53" s="364"/>
      <c r="E53" s="364" t="s">
        <v>109</v>
      </c>
      <c r="F53" s="364">
        <v>2025</v>
      </c>
      <c r="G53" s="365" t="s">
        <v>82</v>
      </c>
      <c r="H53" s="366">
        <f t="shared" ref="H53" si="19">H7+H14+H20+H26+H33+H40+H47</f>
        <v>1012050000</v>
      </c>
      <c r="I53" s="366">
        <f t="shared" ref="I53:Q53" si="20">I7+I14+I20+I26+I33+I40+I47</f>
        <v>13704855000</v>
      </c>
      <c r="J53" s="366">
        <f t="shared" si="20"/>
        <v>10594510098</v>
      </c>
      <c r="K53" s="366">
        <f t="shared" si="20"/>
        <v>1774860000</v>
      </c>
      <c r="L53" s="366">
        <f t="shared" si="20"/>
        <v>8455164000</v>
      </c>
      <c r="M53" s="366">
        <f t="shared" si="20"/>
        <v>0</v>
      </c>
      <c r="N53" s="366">
        <f t="shared" si="20"/>
        <v>5868230000</v>
      </c>
      <c r="O53" s="366">
        <f t="shared" si="20"/>
        <v>251424000</v>
      </c>
      <c r="P53" s="366">
        <f t="shared" si="20"/>
        <v>664430000</v>
      </c>
      <c r="Q53" s="373">
        <f t="shared" si="20"/>
        <v>41313473098</v>
      </c>
      <c r="R53" s="353">
        <f>'Aneksi nr.1.1'!Q21</f>
        <v>41313473098</v>
      </c>
      <c r="S53" s="321">
        <f t="shared" ref="S53:S54" si="21">R53-Q53</f>
        <v>0</v>
      </c>
    </row>
    <row r="54" spans="1:19">
      <c r="A54" s="124"/>
      <c r="B54" s="124"/>
      <c r="C54" s="363">
        <v>17</v>
      </c>
      <c r="D54" s="364"/>
      <c r="E54" s="364" t="s">
        <v>109</v>
      </c>
      <c r="F54" s="364">
        <v>2025</v>
      </c>
      <c r="G54" s="365" t="s">
        <v>107</v>
      </c>
      <c r="H54" s="366">
        <f t="shared" ref="H54" si="22">H8+H15+H21+H27+H34+H41+H48</f>
        <v>51337272</v>
      </c>
      <c r="I54" s="366">
        <f>I8+I15+I21+I27+I34+I41+I48</f>
        <v>12290702514.82</v>
      </c>
      <c r="J54" s="366">
        <f t="shared" ref="J54:P54" si="23">J8+J15+J21+J27+J34+J41+J48</f>
        <v>10536588852</v>
      </c>
      <c r="K54" s="366">
        <f t="shared" si="23"/>
        <v>1757112917</v>
      </c>
      <c r="L54" s="366">
        <f t="shared" si="23"/>
        <v>8252993038.04</v>
      </c>
      <c r="M54" s="366">
        <f t="shared" si="23"/>
        <v>0</v>
      </c>
      <c r="N54" s="366">
        <f t="shared" si="23"/>
        <v>5819088885.8299999</v>
      </c>
      <c r="O54" s="366">
        <f t="shared" si="23"/>
        <v>251389673</v>
      </c>
      <c r="P54" s="366">
        <f t="shared" si="23"/>
        <v>634933053</v>
      </c>
      <c r="Q54" s="373">
        <f>Q8+Q15+Q21+Q27+Q34+Q41+Q48</f>
        <v>39542808933.690002</v>
      </c>
      <c r="R54" s="353">
        <f>'Aneksi nr.1.1'!Q22</f>
        <v>39542808935.540001</v>
      </c>
      <c r="S54" s="321">
        <f t="shared" si="21"/>
        <v>1.8499984741210938</v>
      </c>
    </row>
    <row r="55" spans="1:19">
      <c r="A55" s="124"/>
      <c r="B55" s="124"/>
      <c r="C55" s="363">
        <v>17</v>
      </c>
      <c r="D55" s="364"/>
      <c r="E55" s="364" t="s">
        <v>109</v>
      </c>
      <c r="F55" s="364">
        <v>2025</v>
      </c>
      <c r="G55" s="365" t="s">
        <v>84</v>
      </c>
      <c r="H55" s="366">
        <f t="shared" ref="H55:P55" si="24">H9+H16+H22+H28+H49</f>
        <v>0</v>
      </c>
      <c r="I55" s="366">
        <f t="shared" si="24"/>
        <v>0</v>
      </c>
      <c r="J55" s="366">
        <f t="shared" si="24"/>
        <v>0</v>
      </c>
      <c r="K55" s="366">
        <f t="shared" si="24"/>
        <v>0</v>
      </c>
      <c r="L55" s="366">
        <f t="shared" si="24"/>
        <v>0</v>
      </c>
      <c r="M55" s="366">
        <f t="shared" si="24"/>
        <v>0</v>
      </c>
      <c r="N55" s="366">
        <f t="shared" si="24"/>
        <v>0</v>
      </c>
      <c r="O55" s="366">
        <f t="shared" si="24"/>
        <v>0</v>
      </c>
      <c r="P55" s="366">
        <f t="shared" si="24"/>
        <v>0</v>
      </c>
      <c r="Q55" s="367">
        <f t="shared" ref="Q55" si="25">SUM(H55:P55)</f>
        <v>0</v>
      </c>
      <c r="S55" s="321"/>
    </row>
    <row r="56" spans="1:19">
      <c r="A56" s="124"/>
      <c r="B56" s="124"/>
      <c r="C56" s="363">
        <v>17</v>
      </c>
      <c r="D56" s="364"/>
      <c r="E56" s="364" t="s">
        <v>110</v>
      </c>
      <c r="F56" s="364">
        <v>2025</v>
      </c>
      <c r="G56" s="365" t="s">
        <v>81</v>
      </c>
      <c r="H56" s="366">
        <v>8854</v>
      </c>
      <c r="I56" s="366"/>
      <c r="J56" s="366"/>
      <c r="K56" s="366"/>
      <c r="L56" s="366"/>
      <c r="M56" s="375"/>
      <c r="N56" s="366"/>
      <c r="O56" s="366"/>
      <c r="P56" s="366"/>
      <c r="Q56" s="366">
        <v>8854</v>
      </c>
      <c r="R56" s="296">
        <v>12290702515</v>
      </c>
      <c r="S56" s="321">
        <f>R56-S54</f>
        <v>12290702513.150002</v>
      </c>
    </row>
    <row r="57" spans="1:19">
      <c r="A57" s="124"/>
      <c r="B57" s="124"/>
      <c r="C57" s="363">
        <v>17</v>
      </c>
      <c r="D57" s="364"/>
      <c r="E57" s="364" t="s">
        <v>110</v>
      </c>
      <c r="F57" s="364">
        <v>2025</v>
      </c>
      <c r="G57" s="365" t="s">
        <v>82</v>
      </c>
      <c r="H57" s="366">
        <v>8954</v>
      </c>
      <c r="I57" s="366"/>
      <c r="J57" s="366"/>
      <c r="K57" s="366"/>
      <c r="L57" s="366"/>
      <c r="M57" s="375"/>
      <c r="N57" s="366"/>
      <c r="O57" s="366"/>
      <c r="P57" s="366"/>
      <c r="Q57" s="366">
        <v>8954</v>
      </c>
      <c r="S57" s="321">
        <f>S56-I54</f>
        <v>-1.6699981689453125</v>
      </c>
    </row>
    <row r="58" spans="1:19">
      <c r="A58" s="124"/>
      <c r="B58" s="124"/>
      <c r="C58" s="363">
        <v>17</v>
      </c>
      <c r="D58" s="364"/>
      <c r="E58" s="364" t="s">
        <v>110</v>
      </c>
      <c r="F58" s="364">
        <v>2025</v>
      </c>
      <c r="G58" s="365" t="s">
        <v>111</v>
      </c>
      <c r="H58" s="366">
        <v>8489</v>
      </c>
      <c r="I58" s="366"/>
      <c r="J58" s="366"/>
      <c r="K58" s="366"/>
      <c r="L58" s="366"/>
      <c r="M58" s="375"/>
      <c r="N58" s="366"/>
      <c r="O58" s="366"/>
      <c r="P58" s="366"/>
      <c r="Q58" s="366">
        <v>8489</v>
      </c>
      <c r="S58" s="321"/>
    </row>
  </sheetData>
  <mergeCells count="4">
    <mergeCell ref="C2:Q2"/>
    <mergeCell ref="C3:Q3"/>
    <mergeCell ref="A5:B5"/>
    <mergeCell ref="D4:Q4"/>
  </mergeCells>
  <pageMargins left="0.37" right="0.17" top="0.16" bottom="0.2" header="0.17" footer="0.21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="120" zoomScaleNormal="120" workbookViewId="0">
      <selection activeCell="B4" sqref="B4:O4"/>
    </sheetView>
  </sheetViews>
  <sheetFormatPr defaultRowHeight="15"/>
  <cols>
    <col min="1" max="1" width="3" style="42" customWidth="1"/>
    <col min="2" max="2" width="2" style="42" customWidth="1"/>
    <col min="3" max="3" width="4.42578125" style="42" customWidth="1"/>
    <col min="4" max="4" width="40" style="42" customWidth="1"/>
    <col min="5" max="5" width="13.5703125" style="42" customWidth="1"/>
    <col min="6" max="6" width="6.5703125" style="350" customWidth="1"/>
    <col min="7" max="7" width="14.140625" style="42" customWidth="1"/>
    <col min="8" max="8" width="5.5703125" style="350" customWidth="1"/>
    <col min="9" max="9" width="13.5703125" style="42" customWidth="1"/>
    <col min="10" max="10" width="6.140625" style="350" customWidth="1"/>
    <col min="11" max="11" width="14.28515625" style="42" customWidth="1"/>
    <col min="12" max="12" width="14.140625" style="42" customWidth="1"/>
    <col min="13" max="13" width="6.5703125" style="350" customWidth="1"/>
    <col min="14" max="14" width="13.42578125" style="42" customWidth="1"/>
    <col min="15" max="15" width="9.7109375" style="42" customWidth="1"/>
    <col min="16" max="16384" width="9.140625" style="42"/>
  </cols>
  <sheetData>
    <row r="1" spans="1:15" s="296" customFormat="1" ht="11.25">
      <c r="A1" s="492"/>
      <c r="B1" s="595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</row>
    <row r="2" spans="1:15" s="296" customFormat="1" ht="11.25">
      <c r="A2" s="492"/>
      <c r="B2" s="1045" t="s">
        <v>0</v>
      </c>
      <c r="C2" s="1045"/>
      <c r="D2" s="1045"/>
      <c r="E2" s="1045"/>
      <c r="F2" s="1045"/>
      <c r="G2" s="1045"/>
      <c r="H2" s="1045"/>
      <c r="I2" s="1045"/>
      <c r="J2" s="1045"/>
      <c r="K2" s="1045"/>
      <c r="L2" s="1045"/>
      <c r="M2" s="1045"/>
      <c r="N2" s="1045"/>
      <c r="O2" s="1045"/>
    </row>
    <row r="3" spans="1:15" s="296" customFormat="1" ht="11.25">
      <c r="A3" s="492"/>
      <c r="B3" s="1046" t="s">
        <v>196</v>
      </c>
      <c r="C3" s="1046"/>
      <c r="D3" s="1046"/>
      <c r="E3" s="1046"/>
      <c r="F3" s="1046"/>
      <c r="G3" s="1046"/>
      <c r="H3" s="1046"/>
      <c r="I3" s="1046"/>
      <c r="J3" s="1046"/>
      <c r="K3" s="1046"/>
      <c r="L3" s="1046"/>
      <c r="M3" s="1046"/>
      <c r="N3" s="1046"/>
      <c r="O3" s="1046"/>
    </row>
    <row r="4" spans="1:15" s="296" customFormat="1" ht="12" thickBot="1">
      <c r="A4" s="492"/>
      <c r="B4" s="1047" t="s">
        <v>1</v>
      </c>
      <c r="C4" s="1047"/>
      <c r="D4" s="1047"/>
      <c r="E4" s="1047"/>
      <c r="F4" s="1047"/>
      <c r="G4" s="1047"/>
      <c r="H4" s="1047"/>
      <c r="I4" s="1047"/>
      <c r="J4" s="1047"/>
      <c r="K4" s="1047"/>
      <c r="L4" s="1047"/>
      <c r="M4" s="1047"/>
      <c r="N4" s="1047"/>
      <c r="O4" s="1047"/>
    </row>
    <row r="5" spans="1:15" s="296" customFormat="1" ht="21" customHeight="1" thickTop="1">
      <c r="A5" s="595"/>
      <c r="B5" s="1048" t="s">
        <v>2</v>
      </c>
      <c r="C5" s="1048"/>
      <c r="D5" s="1049" t="s">
        <v>197</v>
      </c>
      <c r="E5" s="1049"/>
      <c r="F5" s="1049"/>
      <c r="G5" s="1050" t="s">
        <v>3</v>
      </c>
      <c r="H5" s="1050"/>
      <c r="I5" s="1050"/>
      <c r="J5" s="1050"/>
      <c r="K5" s="1051">
        <v>17</v>
      </c>
      <c r="L5" s="1051"/>
      <c r="M5" s="1051"/>
      <c r="N5" s="1051"/>
      <c r="O5" s="1051"/>
    </row>
    <row r="6" spans="1:15" ht="15.75" thickBot="1">
      <c r="A6" s="131"/>
      <c r="B6" s="1054" t="s">
        <v>4</v>
      </c>
      <c r="C6" s="1054"/>
      <c r="D6" s="1054"/>
      <c r="E6" s="1055" t="s">
        <v>5</v>
      </c>
      <c r="F6" s="1055"/>
      <c r="G6" s="1055"/>
      <c r="H6" s="1055"/>
      <c r="I6" s="1055"/>
      <c r="J6" s="1055"/>
      <c r="K6" s="1055"/>
      <c r="L6" s="1055"/>
      <c r="M6" s="1055"/>
      <c r="N6" s="1055"/>
      <c r="O6" s="1055"/>
    </row>
    <row r="7" spans="1:15" ht="19.5" customHeight="1" thickTop="1" thickBot="1">
      <c r="A7" s="131"/>
      <c r="B7" s="1054"/>
      <c r="C7" s="1054"/>
      <c r="D7" s="1054"/>
      <c r="E7" s="1042" t="s">
        <v>181</v>
      </c>
      <c r="F7" s="1042"/>
      <c r="G7" s="1042" t="s">
        <v>6</v>
      </c>
      <c r="H7" s="1042"/>
      <c r="I7" s="1042" t="s">
        <v>6</v>
      </c>
      <c r="J7" s="1042"/>
      <c r="K7" s="596" t="s">
        <v>6</v>
      </c>
      <c r="L7" s="1043" t="s">
        <v>6</v>
      </c>
      <c r="M7" s="1043"/>
      <c r="N7" s="1044" t="s">
        <v>7</v>
      </c>
      <c r="O7" s="1052" t="s">
        <v>8</v>
      </c>
    </row>
    <row r="8" spans="1:15" ht="48" customHeight="1" thickTop="1" thickBot="1">
      <c r="A8" s="131"/>
      <c r="B8" s="1054"/>
      <c r="C8" s="1054"/>
      <c r="D8" s="1054"/>
      <c r="E8" s="597" t="s">
        <v>9</v>
      </c>
      <c r="F8" s="598" t="s">
        <v>10</v>
      </c>
      <c r="G8" s="599" t="s">
        <v>182</v>
      </c>
      <c r="H8" s="600" t="s">
        <v>10</v>
      </c>
      <c r="I8" s="599" t="s">
        <v>183</v>
      </c>
      <c r="J8" s="600" t="s">
        <v>10</v>
      </c>
      <c r="K8" s="601" t="s">
        <v>11</v>
      </c>
      <c r="L8" s="599" t="s">
        <v>12</v>
      </c>
      <c r="M8" s="600" t="s">
        <v>10</v>
      </c>
      <c r="N8" s="1044"/>
      <c r="O8" s="1052"/>
    </row>
    <row r="9" spans="1:15" ht="16.5" thickTop="1" thickBot="1">
      <c r="A9" s="131"/>
      <c r="B9" s="1054"/>
      <c r="C9" s="1054"/>
      <c r="D9" s="1054"/>
      <c r="E9" s="602" t="s">
        <v>13</v>
      </c>
      <c r="F9" s="602" t="s">
        <v>14</v>
      </c>
      <c r="G9" s="602" t="s">
        <v>15</v>
      </c>
      <c r="H9" s="602" t="s">
        <v>16</v>
      </c>
      <c r="I9" s="602" t="s">
        <v>17</v>
      </c>
      <c r="J9" s="602" t="s">
        <v>18</v>
      </c>
      <c r="K9" s="602" t="s">
        <v>19</v>
      </c>
      <c r="L9" s="602" t="s">
        <v>20</v>
      </c>
      <c r="M9" s="602" t="s">
        <v>21</v>
      </c>
      <c r="N9" s="602" t="s">
        <v>22</v>
      </c>
      <c r="O9" s="603" t="s">
        <v>23</v>
      </c>
    </row>
    <row r="10" spans="1:15" s="296" customFormat="1" ht="12" thickTop="1">
      <c r="A10" s="492"/>
      <c r="B10" s="1053" t="s">
        <v>24</v>
      </c>
      <c r="C10" s="1053"/>
      <c r="D10" s="1053"/>
      <c r="E10" s="604"/>
      <c r="F10" s="605"/>
      <c r="G10" s="604"/>
      <c r="H10" s="605"/>
      <c r="I10" s="604"/>
      <c r="J10" s="605"/>
      <c r="K10" s="606"/>
      <c r="L10" s="604"/>
      <c r="M10" s="605"/>
      <c r="N10" s="604"/>
      <c r="O10" s="607"/>
    </row>
    <row r="11" spans="1:15" s="296" customFormat="1" ht="10.5" customHeight="1">
      <c r="A11" s="492"/>
      <c r="B11" s="1040" t="s">
        <v>25</v>
      </c>
      <c r="C11" s="1040"/>
      <c r="D11" s="608" t="s">
        <v>26</v>
      </c>
      <c r="E11" s="604"/>
      <c r="F11" s="605"/>
      <c r="G11" s="604"/>
      <c r="H11" s="605"/>
      <c r="I11" s="604"/>
      <c r="J11" s="605"/>
      <c r="K11" s="609"/>
      <c r="L11" s="604"/>
      <c r="M11" s="605"/>
      <c r="N11" s="604"/>
      <c r="O11" s="607"/>
    </row>
    <row r="12" spans="1:15" s="296" customFormat="1" ht="10.5" customHeight="1">
      <c r="A12" s="492"/>
      <c r="B12" s="1041" t="s">
        <v>27</v>
      </c>
      <c r="C12" s="1041"/>
      <c r="D12" s="610" t="s">
        <v>28</v>
      </c>
      <c r="E12" s="611">
        <v>1940414095.1999998</v>
      </c>
      <c r="F12" s="612">
        <f>E12/E19*100</f>
        <v>5.6934779666322797</v>
      </c>
      <c r="G12" s="612">
        <v>1523300000</v>
      </c>
      <c r="H12" s="612">
        <f>G12/G19*100</f>
        <v>2.8913054404449157</v>
      </c>
      <c r="I12" s="612">
        <v>1673932853</v>
      </c>
      <c r="J12" s="612">
        <f>I12/I19*100</f>
        <v>3.1330674223094803</v>
      </c>
      <c r="K12" s="612">
        <f>I12-G12</f>
        <v>150632853</v>
      </c>
      <c r="L12" s="612">
        <v>1656802891</v>
      </c>
      <c r="M12" s="612">
        <f>L12/L19*100</f>
        <v>4.1898968120873947</v>
      </c>
      <c r="N12" s="612">
        <f>I12-L12</f>
        <v>17129962</v>
      </c>
      <c r="O12" s="613">
        <f>L12/I12*100</f>
        <v>98.976663731206429</v>
      </c>
    </row>
    <row r="13" spans="1:15" s="296" customFormat="1" ht="10.5" customHeight="1">
      <c r="A13" s="492"/>
      <c r="B13" s="1041" t="s">
        <v>184</v>
      </c>
      <c r="C13" s="1041"/>
      <c r="D13" s="610" t="s">
        <v>185</v>
      </c>
      <c r="E13" s="611">
        <v>14698172592.980001</v>
      </c>
      <c r="F13" s="612">
        <f>E13/E19*100</f>
        <v>43.126733626032923</v>
      </c>
      <c r="G13" s="612">
        <v>28853758000</v>
      </c>
      <c r="H13" s="612">
        <f>G13/G19*100</f>
        <v>54.765986662299625</v>
      </c>
      <c r="I13" s="612">
        <f>'Aneksi 2.0 Forcat e Luftimit'!H106+'Aneksi 2.0 Forcat e Luftimit'!H100</f>
        <v>29176654823</v>
      </c>
      <c r="J13" s="612">
        <f>I13/I19*100</f>
        <v>54.609374894627315</v>
      </c>
      <c r="K13" s="612">
        <f t="shared" ref="K13:K18" si="0">I13-G13</f>
        <v>322896823</v>
      </c>
      <c r="L13" s="612">
        <v>17381334540.09</v>
      </c>
      <c r="M13" s="612">
        <f>L13/L19*100</f>
        <v>43.955740646608774</v>
      </c>
      <c r="N13" s="612">
        <f>I13-L13</f>
        <v>11795320282.91</v>
      </c>
      <c r="O13" s="613">
        <f t="shared" ref="O13:O18" si="1">L13/I13*100</f>
        <v>59.572746243645</v>
      </c>
    </row>
    <row r="14" spans="1:15" s="296" customFormat="1" ht="10.5" customHeight="1">
      <c r="A14" s="492"/>
      <c r="B14" s="1041" t="s">
        <v>186</v>
      </c>
      <c r="C14" s="1041"/>
      <c r="D14" s="610" t="s">
        <v>187</v>
      </c>
      <c r="E14" s="611">
        <v>6767799816.9599991</v>
      </c>
      <c r="F14" s="612">
        <f>E14/E19*100</f>
        <v>19.857781509502061</v>
      </c>
      <c r="G14" s="612">
        <v>8313436000</v>
      </c>
      <c r="H14" s="612">
        <f>G14/G19*100</f>
        <v>15.779349265141876</v>
      </c>
      <c r="I14" s="612">
        <v>9978226126</v>
      </c>
      <c r="J14" s="612">
        <f>I14/I19*100</f>
        <v>18.676050925089246</v>
      </c>
      <c r="K14" s="612">
        <f t="shared" ref="K14:K15" si="2">I14-G14</f>
        <v>1664790126</v>
      </c>
      <c r="L14" s="612">
        <v>9629528714.7299995</v>
      </c>
      <c r="M14" s="612">
        <f>L14/L19*100</f>
        <v>24.352161553387376</v>
      </c>
      <c r="N14" s="612">
        <f t="shared" ref="N14:N18" si="3">I14-L14</f>
        <v>348697411.27000046</v>
      </c>
      <c r="O14" s="613">
        <f t="shared" si="1"/>
        <v>96.505416825928521</v>
      </c>
    </row>
    <row r="15" spans="1:15" s="296" customFormat="1" ht="10.5" customHeight="1">
      <c r="A15" s="492"/>
      <c r="B15" s="1041" t="s">
        <v>188</v>
      </c>
      <c r="C15" s="1041"/>
      <c r="D15" s="610" t="s">
        <v>189</v>
      </c>
      <c r="E15" s="611">
        <v>1905423018.0000002</v>
      </c>
      <c r="F15" s="612">
        <f>E15/E19*100</f>
        <v>5.5908086819884817</v>
      </c>
      <c r="G15" s="612">
        <v>1906000000</v>
      </c>
      <c r="H15" s="612">
        <f>G15/G19*100</f>
        <v>3.6176906515381142</v>
      </c>
      <c r="I15" s="612">
        <v>1919439960</v>
      </c>
      <c r="J15" s="612">
        <f>I15/I19*100</f>
        <v>3.5925782787387659</v>
      </c>
      <c r="K15" s="612">
        <f t="shared" si="2"/>
        <v>13439960</v>
      </c>
      <c r="L15" s="612">
        <v>1902997030</v>
      </c>
      <c r="M15" s="612">
        <f>L15/L19*100</f>
        <v>4.8124983561540517</v>
      </c>
      <c r="N15" s="612">
        <f t="shared" si="3"/>
        <v>16442930</v>
      </c>
      <c r="O15" s="613">
        <f t="shared" si="1"/>
        <v>99.143347521013368</v>
      </c>
    </row>
    <row r="16" spans="1:15" s="296" customFormat="1" ht="10.5" customHeight="1">
      <c r="A16" s="492"/>
      <c r="B16" s="1041" t="s">
        <v>190</v>
      </c>
      <c r="C16" s="1041"/>
      <c r="D16" s="610" t="s">
        <v>191</v>
      </c>
      <c r="E16" s="611">
        <v>1171873416</v>
      </c>
      <c r="F16" s="612">
        <f>E16/E19*100</f>
        <v>3.4384596000321324</v>
      </c>
      <c r="G16" s="612">
        <v>1427000000</v>
      </c>
      <c r="H16" s="612">
        <f>G16/G19*100</f>
        <v>2.70852285401096</v>
      </c>
      <c r="I16" s="612">
        <v>1451801855</v>
      </c>
      <c r="J16" s="612">
        <f>I16/I19*100</f>
        <v>2.7173091724659351</v>
      </c>
      <c r="K16" s="612">
        <f t="shared" si="0"/>
        <v>24801855</v>
      </c>
      <c r="L16" s="612">
        <v>1342870806</v>
      </c>
      <c r="M16" s="612">
        <f>L16/L19*100</f>
        <v>3.3959924500787406</v>
      </c>
      <c r="N16" s="612">
        <f t="shared" si="3"/>
        <v>108931049</v>
      </c>
      <c r="O16" s="613">
        <f t="shared" si="1"/>
        <v>92.496837731344542</v>
      </c>
    </row>
    <row r="17" spans="1:15" s="296" customFormat="1" ht="10.5" customHeight="1">
      <c r="A17" s="492"/>
      <c r="B17" s="1041" t="s">
        <v>192</v>
      </c>
      <c r="C17" s="1041"/>
      <c r="D17" s="610" t="s">
        <v>193</v>
      </c>
      <c r="E17" s="611">
        <v>5243000000</v>
      </c>
      <c r="F17" s="612">
        <f>E17/E19*100</f>
        <v>15.383780736748506</v>
      </c>
      <c r="G17" s="612">
        <v>5200000000</v>
      </c>
      <c r="H17" s="612">
        <f>G17/G19*100</f>
        <v>9.8698800566622218</v>
      </c>
      <c r="I17" s="612">
        <v>5228958000</v>
      </c>
      <c r="J17" s="612">
        <f>I17/I19*100</f>
        <v>9.7869385459898943</v>
      </c>
      <c r="K17" s="612">
        <f t="shared" si="0"/>
        <v>28958000</v>
      </c>
      <c r="L17" s="612">
        <v>5228958000</v>
      </c>
      <c r="M17" s="612">
        <f>L17/L19*100</f>
        <v>13.223537074778607</v>
      </c>
      <c r="N17" s="612">
        <f t="shared" si="3"/>
        <v>0</v>
      </c>
      <c r="O17" s="613">
        <f t="shared" si="1"/>
        <v>100</v>
      </c>
    </row>
    <row r="18" spans="1:15" s="296" customFormat="1" ht="10.5" customHeight="1">
      <c r="A18" s="492"/>
      <c r="B18" s="1041" t="s">
        <v>194</v>
      </c>
      <c r="C18" s="1041"/>
      <c r="D18" s="610" t="s">
        <v>195</v>
      </c>
      <c r="E18" s="611">
        <v>2354666046</v>
      </c>
      <c r="F18" s="612">
        <f>E18/E19*100</f>
        <v>6.9089578790636219</v>
      </c>
      <c r="G18" s="612">
        <v>5462050000</v>
      </c>
      <c r="H18" s="612">
        <f>G18/G19*100</f>
        <v>10.367265069902288</v>
      </c>
      <c r="I18" s="612">
        <f>'Aneksi 2.0 Emergjencat Civile'!H22+'Aneksi 2.0 Emergjencat Civile'!H25+'Aneksi 2.0 Emergjencat Civile'!H28</f>
        <v>3998909481</v>
      </c>
      <c r="J18" s="612">
        <f>I18/I19*100</f>
        <v>7.484680760779364</v>
      </c>
      <c r="K18" s="612">
        <f t="shared" si="0"/>
        <v>-1463140519</v>
      </c>
      <c r="L18" s="612">
        <v>2400316953.7199998</v>
      </c>
      <c r="M18" s="612">
        <f>L18/L19*100</f>
        <v>6.0701731069050595</v>
      </c>
      <c r="N18" s="612">
        <f t="shared" si="3"/>
        <v>1598592527.2800002</v>
      </c>
      <c r="O18" s="613">
        <f t="shared" si="1"/>
        <v>60.024288249699445</v>
      </c>
    </row>
    <row r="19" spans="1:15" s="296" customFormat="1" ht="10.5" customHeight="1">
      <c r="A19" s="492"/>
      <c r="B19" s="1038"/>
      <c r="C19" s="1038"/>
      <c r="D19" s="614" t="s">
        <v>29</v>
      </c>
      <c r="E19" s="615">
        <f>SUM(E12:E18)</f>
        <v>34081348985.139999</v>
      </c>
      <c r="F19" s="615">
        <v>100</v>
      </c>
      <c r="G19" s="615">
        <f>SUM(G12:G18)</f>
        <v>52685544000</v>
      </c>
      <c r="H19" s="615">
        <v>100</v>
      </c>
      <c r="I19" s="615">
        <f>SUM(I12:I18)</f>
        <v>53427923098</v>
      </c>
      <c r="J19" s="615">
        <v>100</v>
      </c>
      <c r="K19" s="615">
        <f>SUM(K12:K18)</f>
        <v>742379098</v>
      </c>
      <c r="L19" s="615">
        <f>SUM(L12:L18)</f>
        <v>39542808935.540001</v>
      </c>
      <c r="M19" s="615">
        <v>100</v>
      </c>
      <c r="N19" s="615">
        <f>SUM(N12:N18)</f>
        <v>13885114162.460001</v>
      </c>
      <c r="O19" s="616">
        <f t="shared" ref="O19" si="4">L19/I19*100</f>
        <v>74.011503054327463</v>
      </c>
    </row>
    <row r="20" spans="1:15" s="296" customFormat="1" ht="10.5" customHeight="1">
      <c r="A20" s="492"/>
      <c r="B20" s="1038"/>
      <c r="C20" s="1038"/>
      <c r="D20" s="614" t="s">
        <v>30</v>
      </c>
      <c r="E20" s="615">
        <v>115280000</v>
      </c>
      <c r="F20" s="615"/>
      <c r="G20" s="615"/>
      <c r="H20" s="615"/>
      <c r="I20" s="615"/>
      <c r="J20" s="615"/>
      <c r="K20" s="615"/>
      <c r="L20" s="615">
        <v>24682000</v>
      </c>
      <c r="M20" s="615"/>
      <c r="N20" s="615"/>
      <c r="O20" s="616"/>
    </row>
    <row r="21" spans="1:15" s="296" customFormat="1" ht="10.5" customHeight="1" thickBot="1">
      <c r="A21" s="492"/>
      <c r="B21" s="1038"/>
      <c r="C21" s="1038"/>
      <c r="D21" s="614" t="s">
        <v>31</v>
      </c>
      <c r="E21" s="615"/>
      <c r="F21" s="615"/>
      <c r="G21" s="615"/>
      <c r="H21" s="615"/>
      <c r="I21" s="615"/>
      <c r="J21" s="615"/>
      <c r="K21" s="615"/>
      <c r="L21" s="615"/>
      <c r="M21" s="615"/>
      <c r="N21" s="615"/>
      <c r="O21" s="616">
        <f>L21/I19*100</f>
        <v>0</v>
      </c>
    </row>
    <row r="22" spans="1:15" s="296" customFormat="1" ht="10.5" customHeight="1" thickTop="1">
      <c r="A22" s="492"/>
      <c r="B22" s="1039" t="s">
        <v>32</v>
      </c>
      <c r="C22" s="1039"/>
      <c r="D22" s="1039"/>
      <c r="E22" s="617"/>
      <c r="F22" s="618"/>
      <c r="G22" s="619"/>
      <c r="H22" s="618"/>
      <c r="I22" s="619"/>
      <c r="J22" s="618"/>
      <c r="K22" s="620"/>
      <c r="L22" s="619"/>
      <c r="M22" s="618"/>
      <c r="N22" s="619"/>
      <c r="O22" s="621"/>
    </row>
    <row r="23" spans="1:15" s="296" customFormat="1" ht="10.5" customHeight="1">
      <c r="A23" s="492"/>
      <c r="B23" s="1040" t="s">
        <v>33</v>
      </c>
      <c r="C23" s="1040"/>
      <c r="D23" s="608" t="s">
        <v>26</v>
      </c>
      <c r="E23" s="604"/>
      <c r="F23" s="605"/>
      <c r="G23" s="622"/>
      <c r="H23" s="605"/>
      <c r="I23" s="622"/>
      <c r="J23" s="605"/>
      <c r="K23" s="623"/>
      <c r="L23" s="622"/>
      <c r="M23" s="605"/>
      <c r="N23" s="622"/>
      <c r="O23" s="607"/>
    </row>
    <row r="24" spans="1:15" s="296" customFormat="1" ht="10.5" customHeight="1">
      <c r="A24" s="492"/>
      <c r="B24" s="1036" t="s">
        <v>34</v>
      </c>
      <c r="C24" s="1036"/>
      <c r="D24" s="624" t="s">
        <v>35</v>
      </c>
      <c r="E24" s="625">
        <v>8488505221.5</v>
      </c>
      <c r="F24" s="612">
        <f>E24/E41*100</f>
        <v>24.906599868453334</v>
      </c>
      <c r="G24" s="626">
        <v>8866684000</v>
      </c>
      <c r="H24" s="612">
        <f>G24/G41*100</f>
        <v>16.829443765447312</v>
      </c>
      <c r="I24" s="626">
        <v>10594510098</v>
      </c>
      <c r="J24" s="612">
        <f>I24/I41*100</f>
        <v>19.829537596973502</v>
      </c>
      <c r="K24" s="612">
        <f>I24-G24</f>
        <v>1727826098</v>
      </c>
      <c r="L24" s="626">
        <v>10536588852</v>
      </c>
      <c r="M24" s="612">
        <f>L24/L41*100</f>
        <v>26.646030303957492</v>
      </c>
      <c r="N24" s="612">
        <f t="shared" ref="N24:N36" si="5">I24-L24</f>
        <v>57921246</v>
      </c>
      <c r="O24" s="613">
        <f>L24/I24*100</f>
        <v>99.453290001479786</v>
      </c>
    </row>
    <row r="25" spans="1:15" s="296" customFormat="1" ht="10.5" customHeight="1">
      <c r="A25" s="492"/>
      <c r="B25" s="1036" t="s">
        <v>36</v>
      </c>
      <c r="C25" s="1036"/>
      <c r="D25" s="624" t="s">
        <v>37</v>
      </c>
      <c r="E25" s="625">
        <v>1460354362.4999998</v>
      </c>
      <c r="F25" s="612">
        <f>E25/E41*100</f>
        <v>4.2849077456902807</v>
      </c>
      <c r="G25" s="626">
        <v>1526300000</v>
      </c>
      <c r="H25" s="612">
        <f>G25/G41*100</f>
        <v>2.8969996020160673</v>
      </c>
      <c r="I25" s="626">
        <v>1774860000</v>
      </c>
      <c r="J25" s="612">
        <f>I25/I41*100</f>
        <v>3.3219707918357009</v>
      </c>
      <c r="K25" s="612">
        <f t="shared" ref="K25:K29" si="6">I25-G25</f>
        <v>248560000</v>
      </c>
      <c r="L25" s="626">
        <v>1757112917</v>
      </c>
      <c r="M25" s="612">
        <f>L25/L41*100</f>
        <v>4.443571320045387</v>
      </c>
      <c r="N25" s="612">
        <f>I25-L25</f>
        <v>17747083</v>
      </c>
      <c r="O25" s="613">
        <f t="shared" ref="O25:O31" si="7">L25/I25*100</f>
        <v>99.000085471530156</v>
      </c>
    </row>
    <row r="26" spans="1:15" s="296" customFormat="1" ht="10.5" customHeight="1">
      <c r="A26" s="492"/>
      <c r="B26" s="1036" t="s">
        <v>38</v>
      </c>
      <c r="C26" s="1036"/>
      <c r="D26" s="624" t="s">
        <v>39</v>
      </c>
      <c r="E26" s="625">
        <v>6750920538.25</v>
      </c>
      <c r="F26" s="612">
        <f>E26/E41*100</f>
        <v>19.808255069931377</v>
      </c>
      <c r="G26" s="626">
        <v>7333836000</v>
      </c>
      <c r="H26" s="612">
        <f>G26/G41*100</f>
        <v>13.920015706775276</v>
      </c>
      <c r="I26" s="626">
        <v>8455164000</v>
      </c>
      <c r="J26" s="612">
        <f>I26/I41*100</f>
        <v>15.825365295392716</v>
      </c>
      <c r="K26" s="612">
        <f t="shared" si="6"/>
        <v>1121328000</v>
      </c>
      <c r="L26" s="626">
        <v>8252993038</v>
      </c>
      <c r="M26" s="612">
        <f>L26/L41*100</f>
        <v>20.871033849551427</v>
      </c>
      <c r="N26" s="612">
        <f t="shared" si="5"/>
        <v>202170962</v>
      </c>
      <c r="O26" s="613">
        <f t="shared" si="7"/>
        <v>97.608905492548686</v>
      </c>
    </row>
    <row r="27" spans="1:15" s="296" customFormat="1" ht="10.5" customHeight="1">
      <c r="A27" s="492"/>
      <c r="B27" s="1036" t="s">
        <v>40</v>
      </c>
      <c r="C27" s="1036"/>
      <c r="D27" s="624" t="s">
        <v>41</v>
      </c>
      <c r="E27" s="625">
        <v>0</v>
      </c>
      <c r="F27" s="612">
        <f>E27/E41*100</f>
        <v>0</v>
      </c>
      <c r="G27" s="626">
        <v>0</v>
      </c>
      <c r="H27" s="612">
        <f>G27/G41*100</f>
        <v>0</v>
      </c>
      <c r="I27" s="626">
        <v>0</v>
      </c>
      <c r="J27" s="612">
        <f>I27/I41*100</f>
        <v>0</v>
      </c>
      <c r="K27" s="612">
        <f t="shared" si="6"/>
        <v>0</v>
      </c>
      <c r="L27" s="626">
        <v>0</v>
      </c>
      <c r="M27" s="612">
        <f>L27/L41*100</f>
        <v>0</v>
      </c>
      <c r="N27" s="612">
        <f t="shared" si="5"/>
        <v>0</v>
      </c>
      <c r="O27" s="613" t="e">
        <f t="shared" si="7"/>
        <v>#DIV/0!</v>
      </c>
    </row>
    <row r="28" spans="1:15" s="296" customFormat="1" ht="10.5" customHeight="1">
      <c r="A28" s="492"/>
      <c r="B28" s="1036" t="s">
        <v>42</v>
      </c>
      <c r="C28" s="1036"/>
      <c r="D28" s="624" t="s">
        <v>43</v>
      </c>
      <c r="E28" s="625">
        <v>6127240220</v>
      </c>
      <c r="F28" s="612">
        <f>E28/E41*100</f>
        <v>17.97827962347257</v>
      </c>
      <c r="G28" s="626">
        <v>6000000000</v>
      </c>
      <c r="H28" s="612">
        <f>G28/G41*100</f>
        <v>11.388323142302564</v>
      </c>
      <c r="I28" s="626">
        <v>5868230000</v>
      </c>
      <c r="J28" s="612">
        <f>I28/I41*100</f>
        <v>10.983451460832976</v>
      </c>
      <c r="K28" s="612">
        <f t="shared" si="6"/>
        <v>-131770000</v>
      </c>
      <c r="L28" s="626">
        <v>5819088885.8299999</v>
      </c>
      <c r="M28" s="612">
        <f>L28/L41*100</f>
        <v>14.71592191469221</v>
      </c>
      <c r="N28" s="612">
        <f t="shared" si="5"/>
        <v>49141114.170000076</v>
      </c>
      <c r="O28" s="613">
        <f t="shared" si="7"/>
        <v>99.162590522695936</v>
      </c>
    </row>
    <row r="29" spans="1:15" s="296" customFormat="1" ht="10.5" customHeight="1">
      <c r="A29" s="492"/>
      <c r="B29" s="1036" t="s">
        <v>44</v>
      </c>
      <c r="C29" s="1036"/>
      <c r="D29" s="624" t="s">
        <v>45</v>
      </c>
      <c r="E29" s="625">
        <v>476197824</v>
      </c>
      <c r="F29" s="612">
        <f>E29/E41*100</f>
        <v>1.3972387777479984</v>
      </c>
      <c r="G29" s="626">
        <v>293424000</v>
      </c>
      <c r="H29" s="612">
        <f>G29/G41*100</f>
        <v>0.55693455495116462</v>
      </c>
      <c r="I29" s="626">
        <v>251424000</v>
      </c>
      <c r="J29" s="612">
        <f>I29/I41*100</f>
        <v>0.47058538947663436</v>
      </c>
      <c r="K29" s="612">
        <f t="shared" si="6"/>
        <v>-42000000</v>
      </c>
      <c r="L29" s="626">
        <v>251389673</v>
      </c>
      <c r="M29" s="612">
        <f>L29/L41*100</f>
        <v>0.63574055502682758</v>
      </c>
      <c r="N29" s="612">
        <f t="shared" si="5"/>
        <v>34327</v>
      </c>
      <c r="O29" s="613">
        <f t="shared" si="7"/>
        <v>99.986346967672134</v>
      </c>
    </row>
    <row r="30" spans="1:15" s="296" customFormat="1" ht="10.5" customHeight="1">
      <c r="A30" s="492"/>
      <c r="B30" s="1036" t="s">
        <v>46</v>
      </c>
      <c r="C30" s="1036"/>
      <c r="D30" s="624" t="s">
        <v>47</v>
      </c>
      <c r="E30" s="625">
        <v>624838570.88999999</v>
      </c>
      <c r="F30" s="612">
        <f>E30/E41*100</f>
        <v>1.8333739405750615</v>
      </c>
      <c r="G30" s="626">
        <v>516250000</v>
      </c>
      <c r="H30" s="612">
        <f>G30/G41*100</f>
        <v>0.97987030370228312</v>
      </c>
      <c r="I30" s="626">
        <v>664430000</v>
      </c>
      <c r="J30" s="612">
        <f>I30/I41*100</f>
        <v>1.2436006520060146</v>
      </c>
      <c r="K30" s="612">
        <f>I30-G30</f>
        <v>148180000</v>
      </c>
      <c r="L30" s="626">
        <v>634933055</v>
      </c>
      <c r="M30" s="612">
        <f>L30/L41*100</f>
        <v>1.6056852613455579</v>
      </c>
      <c r="N30" s="612">
        <f t="shared" si="5"/>
        <v>29496945</v>
      </c>
      <c r="O30" s="613">
        <f t="shared" si="7"/>
        <v>95.560563942025496</v>
      </c>
    </row>
    <row r="31" spans="1:15" s="296" customFormat="1" ht="11.25">
      <c r="A31" s="492"/>
      <c r="B31" s="1036"/>
      <c r="C31" s="1036"/>
      <c r="D31" s="627" t="s">
        <v>48</v>
      </c>
      <c r="E31" s="628">
        <f>SUM(E24:E30)</f>
        <v>23928056737.139999</v>
      </c>
      <c r="F31" s="615">
        <f>E31/E41*100</f>
        <v>70.208655025870613</v>
      </c>
      <c r="G31" s="628">
        <f>SUM(G24:G30)</f>
        <v>24536494000</v>
      </c>
      <c r="H31" s="615">
        <f>G31/G41*100</f>
        <v>46.571587075194671</v>
      </c>
      <c r="I31" s="628">
        <f>SUM(I24:I30)</f>
        <v>27608618098</v>
      </c>
      <c r="J31" s="615">
        <f>I31/I41*100</f>
        <v>51.674511186517549</v>
      </c>
      <c r="K31" s="628">
        <f>SUM(K24:K30)</f>
        <v>3072124098</v>
      </c>
      <c r="L31" s="628">
        <f>SUM(L24:L30)</f>
        <v>27252106420.830002</v>
      </c>
      <c r="M31" s="615">
        <f>L31/L41*100</f>
        <v>68.917983204618906</v>
      </c>
      <c r="N31" s="628">
        <f>SUM(N24:N30)</f>
        <v>356511677.17000008</v>
      </c>
      <c r="O31" s="616">
        <f t="shared" si="7"/>
        <v>98.708694234877967</v>
      </c>
    </row>
    <row r="32" spans="1:15" s="296" customFormat="1" ht="11.25">
      <c r="A32" s="492"/>
      <c r="B32" s="1036" t="s">
        <v>49</v>
      </c>
      <c r="C32" s="1036"/>
      <c r="D32" s="624" t="s">
        <v>50</v>
      </c>
      <c r="E32" s="625"/>
      <c r="F32" s="626">
        <v>0</v>
      </c>
      <c r="G32" s="626"/>
      <c r="H32" s="626">
        <v>0</v>
      </c>
      <c r="I32" s="626">
        <v>151837000</v>
      </c>
      <c r="J32" s="626">
        <v>0</v>
      </c>
      <c r="K32" s="612">
        <f>I32-G32</f>
        <v>151837000</v>
      </c>
      <c r="L32" s="626">
        <v>140022118.73000002</v>
      </c>
      <c r="M32" s="626">
        <v>0</v>
      </c>
      <c r="N32" s="612">
        <f t="shared" si="5"/>
        <v>11814881.269999981</v>
      </c>
      <c r="O32" s="613">
        <f t="shared" ref="O32:O38" si="8">L32/I32*100</f>
        <v>92.218707383575818</v>
      </c>
    </row>
    <row r="33" spans="1:15" s="296" customFormat="1" ht="11.25">
      <c r="A33" s="492"/>
      <c r="B33" s="1036" t="s">
        <v>51</v>
      </c>
      <c r="C33" s="1036"/>
      <c r="D33" s="624" t="s">
        <v>52</v>
      </c>
      <c r="E33" s="626">
        <v>10153292248</v>
      </c>
      <c r="F33" s="612">
        <f>E33/E41</f>
        <v>0.2979134497412938</v>
      </c>
      <c r="G33" s="626">
        <f>15924796000+12204000</f>
        <v>15937000000</v>
      </c>
      <c r="H33" s="612">
        <f>G33/G41</f>
        <v>0.30249284319812658</v>
      </c>
      <c r="I33" s="626">
        <v>13553018000</v>
      </c>
      <c r="J33" s="612">
        <f>I33/I41</f>
        <v>0.25366919045571767</v>
      </c>
      <c r="K33" s="612">
        <f>I33-G33</f>
        <v>-2383982000</v>
      </c>
      <c r="L33" s="626">
        <v>12150680395.98</v>
      </c>
      <c r="M33" s="612">
        <f>L33/L41</f>
        <v>0.30727914184819832</v>
      </c>
      <c r="N33" s="612">
        <f t="shared" si="5"/>
        <v>1402337604.0200005</v>
      </c>
      <c r="O33" s="613">
        <f t="shared" si="8"/>
        <v>89.652949593810021</v>
      </c>
    </row>
    <row r="34" spans="1:15" s="296" customFormat="1" ht="19.5" customHeight="1">
      <c r="A34" s="492"/>
      <c r="B34" s="1036"/>
      <c r="C34" s="1036"/>
      <c r="D34" s="627" t="s">
        <v>53</v>
      </c>
      <c r="E34" s="628">
        <f>E32+E33</f>
        <v>10153292248</v>
      </c>
      <c r="F34" s="629">
        <f>E34/E41*100</f>
        <v>29.79134497412938</v>
      </c>
      <c r="G34" s="628">
        <f>G32+G33</f>
        <v>15937000000</v>
      </c>
      <c r="H34" s="629">
        <f>G34/G41*100</f>
        <v>30.249284319812659</v>
      </c>
      <c r="I34" s="628">
        <f>I32+I33</f>
        <v>13704855000</v>
      </c>
      <c r="J34" s="629">
        <f>I34/I41*100</f>
        <v>25.651109392483612</v>
      </c>
      <c r="K34" s="628">
        <f>K32+K33</f>
        <v>-2232145000</v>
      </c>
      <c r="L34" s="628">
        <f>L32+L33</f>
        <v>12290702514.709999</v>
      </c>
      <c r="M34" s="629">
        <f>L34/L41*100</f>
        <v>31.082016795381094</v>
      </c>
      <c r="N34" s="628">
        <f>N32+N33</f>
        <v>1414152485.2900004</v>
      </c>
      <c r="O34" s="616">
        <f>L34/I34*100</f>
        <v>89.681375795001102</v>
      </c>
    </row>
    <row r="35" spans="1:15" s="296" customFormat="1" ht="11.25">
      <c r="A35" s="492"/>
      <c r="B35" s="1036" t="s">
        <v>49</v>
      </c>
      <c r="C35" s="1036"/>
      <c r="D35" s="624" t="s">
        <v>50</v>
      </c>
      <c r="E35" s="625"/>
      <c r="F35" s="626">
        <v>0</v>
      </c>
      <c r="G35" s="626">
        <v>0</v>
      </c>
      <c r="H35" s="626">
        <v>0</v>
      </c>
      <c r="I35" s="626"/>
      <c r="J35" s="626">
        <v>0</v>
      </c>
      <c r="K35" s="612">
        <f>I35-G35</f>
        <v>0</v>
      </c>
      <c r="L35" s="626"/>
      <c r="M35" s="626">
        <v>0</v>
      </c>
      <c r="N35" s="612">
        <f t="shared" si="5"/>
        <v>0</v>
      </c>
      <c r="O35" s="613" t="e">
        <f t="shared" si="8"/>
        <v>#DIV/0!</v>
      </c>
    </row>
    <row r="36" spans="1:15" s="296" customFormat="1" ht="11.25">
      <c r="A36" s="492"/>
      <c r="B36" s="1036" t="s">
        <v>51</v>
      </c>
      <c r="C36" s="1036"/>
      <c r="D36" s="624" t="s">
        <v>52</v>
      </c>
      <c r="E36" s="625"/>
      <c r="F36" s="626">
        <v>0.4</v>
      </c>
      <c r="G36" s="626"/>
      <c r="H36" s="612">
        <v>0</v>
      </c>
      <c r="I36" s="626"/>
      <c r="J36" s="626">
        <v>0.4</v>
      </c>
      <c r="K36" s="612">
        <f t="shared" ref="K36" si="9">I36-G36</f>
        <v>0</v>
      </c>
      <c r="L36" s="626"/>
      <c r="M36" s="626">
        <v>0.4</v>
      </c>
      <c r="N36" s="612">
        <f t="shared" si="5"/>
        <v>0</v>
      </c>
      <c r="O36" s="613" t="e">
        <f t="shared" si="8"/>
        <v>#DIV/0!</v>
      </c>
    </row>
    <row r="37" spans="1:15" s="296" customFormat="1" ht="19.5" customHeight="1">
      <c r="A37" s="492"/>
      <c r="B37" s="1036"/>
      <c r="C37" s="1036"/>
      <c r="D37" s="627" t="s">
        <v>54</v>
      </c>
      <c r="E37" s="628"/>
      <c r="F37" s="629">
        <v>0.4</v>
      </c>
      <c r="G37" s="629">
        <v>12212050000</v>
      </c>
      <c r="H37" s="629">
        <f>G37/G41*100</f>
        <v>23.17912860499267</v>
      </c>
      <c r="I37" s="629">
        <v>12114450000</v>
      </c>
      <c r="J37" s="629">
        <v>0.4</v>
      </c>
      <c r="K37" s="612">
        <f>I37-G37</f>
        <v>-97600000</v>
      </c>
      <c r="L37" s="629">
        <f t="shared" ref="L37" si="10">SUM(L35:L36)</f>
        <v>0</v>
      </c>
      <c r="M37" s="629">
        <v>0.4</v>
      </c>
      <c r="N37" s="629">
        <f>SUM(N35:N36)</f>
        <v>0</v>
      </c>
      <c r="O37" s="616">
        <f t="shared" si="8"/>
        <v>0</v>
      </c>
    </row>
    <row r="38" spans="1:15" s="296" customFormat="1" ht="11.25">
      <c r="A38" s="492"/>
      <c r="B38" s="1036"/>
      <c r="C38" s="1036"/>
      <c r="D38" s="627" t="s">
        <v>55</v>
      </c>
      <c r="E38" s="628">
        <f>E34</f>
        <v>10153292248</v>
      </c>
      <c r="F38" s="629">
        <f>F34</f>
        <v>29.79134497412938</v>
      </c>
      <c r="G38" s="629">
        <f>G34+G37</f>
        <v>28149050000</v>
      </c>
      <c r="H38" s="629">
        <f>H34+H37</f>
        <v>53.428412924805329</v>
      </c>
      <c r="I38" s="629">
        <f>I34+I37</f>
        <v>25819305000</v>
      </c>
      <c r="J38" s="629">
        <f>J34</f>
        <v>25.651109392483612</v>
      </c>
      <c r="K38" s="629">
        <f>K34+K37</f>
        <v>-2329745000</v>
      </c>
      <c r="L38" s="629">
        <f>L34+L37</f>
        <v>12290702514.709999</v>
      </c>
      <c r="M38" s="629">
        <f>M34</f>
        <v>31.082016795381094</v>
      </c>
      <c r="N38" s="629">
        <f>N34+N37</f>
        <v>1414152485.2900004</v>
      </c>
      <c r="O38" s="616">
        <f t="shared" si="8"/>
        <v>47.602762795938922</v>
      </c>
    </row>
    <row r="39" spans="1:15" s="296" customFormat="1" ht="20.25" customHeight="1">
      <c r="A39" s="492"/>
      <c r="B39" s="1036"/>
      <c r="C39" s="1036"/>
      <c r="D39" s="627" t="s">
        <v>56</v>
      </c>
      <c r="E39" s="628"/>
      <c r="F39" s="629"/>
      <c r="G39" s="629"/>
      <c r="H39" s="629">
        <f t="shared" ref="H39:N39" si="11">H31+H38</f>
        <v>100</v>
      </c>
      <c r="I39" s="629">
        <f t="shared" si="11"/>
        <v>53427923098</v>
      </c>
      <c r="J39" s="629">
        <f t="shared" si="11"/>
        <v>77.325620579001168</v>
      </c>
      <c r="K39" s="629">
        <f t="shared" si="11"/>
        <v>742379098</v>
      </c>
      <c r="L39" s="629">
        <f t="shared" si="11"/>
        <v>39542808935.540001</v>
      </c>
      <c r="M39" s="629">
        <f t="shared" si="11"/>
        <v>100</v>
      </c>
      <c r="N39" s="629">
        <f t="shared" si="11"/>
        <v>1770664162.4600005</v>
      </c>
      <c r="O39" s="616">
        <f>L39/I39*100</f>
        <v>74.011503054327463</v>
      </c>
    </row>
    <row r="40" spans="1:15" s="296" customFormat="1" ht="18" customHeight="1">
      <c r="A40" s="492"/>
      <c r="B40" s="1036"/>
      <c r="C40" s="1036"/>
      <c r="D40" s="627" t="s">
        <v>30</v>
      </c>
      <c r="E40" s="628"/>
      <c r="F40" s="629"/>
      <c r="G40" s="628"/>
      <c r="H40" s="629"/>
      <c r="I40" s="628"/>
      <c r="J40" s="629"/>
      <c r="K40" s="629"/>
      <c r="L40" s="629"/>
      <c r="M40" s="629"/>
      <c r="N40" s="628"/>
      <c r="O40" s="616" t="e">
        <f t="shared" ref="O40:O42" si="12">L40/I40*100</f>
        <v>#DIV/0!</v>
      </c>
    </row>
    <row r="41" spans="1:15" s="296" customFormat="1" ht="21" customHeight="1">
      <c r="A41" s="492"/>
      <c r="B41" s="1036"/>
      <c r="C41" s="1036"/>
      <c r="D41" s="627" t="s">
        <v>793</v>
      </c>
      <c r="E41" s="630">
        <f>E31+E34</f>
        <v>34081348985.139999</v>
      </c>
      <c r="F41" s="630">
        <f>F31+F38</f>
        <v>100</v>
      </c>
      <c r="G41" s="630">
        <f>G31+G38</f>
        <v>52685544000</v>
      </c>
      <c r="H41" s="630">
        <f>H31+H34+H37</f>
        <v>100</v>
      </c>
      <c r="I41" s="630">
        <f>I31+I34+I37</f>
        <v>53427923098</v>
      </c>
      <c r="J41" s="631">
        <f>J31+J34</f>
        <v>77.325620579001168</v>
      </c>
      <c r="K41" s="630">
        <f>K31+K34+K37</f>
        <v>742379098</v>
      </c>
      <c r="L41" s="630">
        <f>L31+L34</f>
        <v>39542808935.540001</v>
      </c>
      <c r="M41" s="631">
        <f>M31+M38</f>
        <v>100</v>
      </c>
      <c r="N41" s="630">
        <f>N31+N34</f>
        <v>1770664162.4600005</v>
      </c>
      <c r="O41" s="616">
        <f t="shared" si="12"/>
        <v>74.011503054327463</v>
      </c>
    </row>
    <row r="42" spans="1:15" s="593" customFormat="1" ht="21" customHeight="1" thickBot="1">
      <c r="A42" s="592"/>
      <c r="B42" s="632"/>
      <c r="C42" s="632"/>
      <c r="D42" s="627" t="s">
        <v>792</v>
      </c>
      <c r="E42" s="630"/>
      <c r="F42" s="630"/>
      <c r="G42" s="630">
        <f>G41-G37</f>
        <v>40473494000</v>
      </c>
      <c r="H42" s="630"/>
      <c r="I42" s="630">
        <f t="shared" ref="I42:N42" si="13">I41-I37</f>
        <v>41313473098</v>
      </c>
      <c r="J42" s="631"/>
      <c r="K42" s="630">
        <f t="shared" si="13"/>
        <v>839979098</v>
      </c>
      <c r="L42" s="630">
        <f t="shared" si="13"/>
        <v>39542808935.540001</v>
      </c>
      <c r="M42" s="631"/>
      <c r="N42" s="630">
        <f t="shared" si="13"/>
        <v>1770664162.4600005</v>
      </c>
      <c r="O42" s="637">
        <f t="shared" si="12"/>
        <v>95.714075748945646</v>
      </c>
    </row>
    <row r="43" spans="1:15" s="296" customFormat="1" ht="12.75" thickTop="1" thickBot="1">
      <c r="A43" s="492"/>
      <c r="B43" s="1037"/>
      <c r="C43" s="1037"/>
      <c r="D43" s="633" t="s">
        <v>57</v>
      </c>
      <c r="E43" s="634">
        <v>8854</v>
      </c>
      <c r="F43" s="635"/>
      <c r="G43" s="634">
        <v>8954</v>
      </c>
      <c r="H43" s="634"/>
      <c r="I43" s="634">
        <v>8954</v>
      </c>
      <c r="J43" s="634"/>
      <c r="K43" s="634"/>
      <c r="L43" s="634">
        <v>8489</v>
      </c>
      <c r="M43" s="635"/>
      <c r="N43" s="634">
        <f>I43-L43</f>
        <v>465</v>
      </c>
      <c r="O43" s="636"/>
    </row>
    <row r="44" spans="1:15" s="296" customFormat="1" ht="12" thickTop="1"/>
  </sheetData>
  <mergeCells count="48">
    <mergeCell ref="B14:C14"/>
    <mergeCell ref="B15:C15"/>
    <mergeCell ref="B2:O2"/>
    <mergeCell ref="B3:O3"/>
    <mergeCell ref="B4:O4"/>
    <mergeCell ref="B5:C5"/>
    <mergeCell ref="D5:F5"/>
    <mergeCell ref="G5:J5"/>
    <mergeCell ref="K5:O5"/>
    <mergeCell ref="O7:O8"/>
    <mergeCell ref="B10:D10"/>
    <mergeCell ref="B11:C11"/>
    <mergeCell ref="B12:C12"/>
    <mergeCell ref="B13:C13"/>
    <mergeCell ref="B6:D9"/>
    <mergeCell ref="E6:O6"/>
    <mergeCell ref="E7:F7"/>
    <mergeCell ref="G7:H7"/>
    <mergeCell ref="I7:J7"/>
    <mergeCell ref="L7:M7"/>
    <mergeCell ref="N7:N8"/>
    <mergeCell ref="B16:C16"/>
    <mergeCell ref="B17:C17"/>
    <mergeCell ref="B18:C18"/>
    <mergeCell ref="B19:C19"/>
    <mergeCell ref="B20:C20"/>
    <mergeCell ref="B21:C21"/>
    <mergeCell ref="B22:D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1:C41"/>
    <mergeCell ref="B43:C43"/>
    <mergeCell ref="B36:C36"/>
    <mergeCell ref="B37:C37"/>
    <mergeCell ref="B38:C38"/>
    <mergeCell ref="B39:C39"/>
    <mergeCell ref="B40:C40"/>
  </mergeCells>
  <pageMargins left="0.17" right="0.79" top="0.17" bottom="0.17" header="0.17" footer="0.17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C1" workbookViewId="0">
      <selection activeCell="J27" sqref="J27"/>
    </sheetView>
  </sheetViews>
  <sheetFormatPr defaultRowHeight="11.25"/>
  <cols>
    <col min="1" max="2" width="0" style="38" hidden="1" customWidth="1"/>
    <col min="3" max="3" width="4.28515625" style="38" customWidth="1"/>
    <col min="4" max="4" width="4.42578125" style="38" customWidth="1"/>
    <col min="5" max="5" width="20.42578125" style="38" customWidth="1"/>
    <col min="6" max="6" width="11.7109375" style="38" customWidth="1"/>
    <col min="7" max="7" width="15.7109375" style="38" customWidth="1"/>
    <col min="8" max="8" width="21.5703125" style="38" customWidth="1"/>
    <col min="9" max="9" width="12.85546875" style="38" customWidth="1"/>
    <col min="10" max="10" width="12.140625" style="38" customWidth="1"/>
    <col min="11" max="11" width="12.5703125" style="38" customWidth="1"/>
    <col min="12" max="12" width="12.28515625" style="38" customWidth="1"/>
    <col min="13" max="13" width="10.85546875" style="38" hidden="1" customWidth="1"/>
    <col min="14" max="14" width="11.5703125" style="38" customWidth="1"/>
    <col min="15" max="15" width="11" style="38" customWidth="1"/>
    <col min="16" max="16" width="10.85546875" style="38" customWidth="1"/>
    <col min="17" max="17" width="11.85546875" style="38" customWidth="1"/>
    <col min="18" max="19" width="13.85546875" style="38" bestFit="1" customWidth="1"/>
    <col min="20" max="20" width="14.5703125" style="38" customWidth="1"/>
    <col min="21" max="16384" width="9.140625" style="38"/>
  </cols>
  <sheetData>
    <row r="1" spans="1:20">
      <c r="A1" s="566"/>
      <c r="B1" s="566"/>
      <c r="C1" s="567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</row>
    <row r="2" spans="1:20">
      <c r="A2" s="566"/>
      <c r="B2" s="566"/>
      <c r="C2" s="1060" t="s">
        <v>62</v>
      </c>
      <c r="D2" s="1060"/>
      <c r="E2" s="1060"/>
      <c r="F2" s="1060"/>
      <c r="G2" s="1060"/>
      <c r="H2" s="1060"/>
      <c r="I2" s="1060"/>
      <c r="J2" s="1060"/>
      <c r="K2" s="1060"/>
      <c r="L2" s="1060"/>
      <c r="M2" s="1060"/>
      <c r="N2" s="1060"/>
      <c r="O2" s="1060"/>
      <c r="P2" s="1060"/>
      <c r="Q2" s="1060"/>
    </row>
    <row r="3" spans="1:20">
      <c r="A3" s="566"/>
      <c r="B3" s="566"/>
      <c r="C3" s="1056" t="s">
        <v>196</v>
      </c>
      <c r="D3" s="1056"/>
      <c r="E3" s="1056"/>
      <c r="F3" s="1056"/>
      <c r="G3" s="1056"/>
      <c r="H3" s="1056"/>
      <c r="I3" s="1056"/>
      <c r="J3" s="1056"/>
      <c r="K3" s="1056"/>
      <c r="L3" s="1056"/>
      <c r="M3" s="1056"/>
      <c r="N3" s="1056"/>
      <c r="O3" s="1056"/>
      <c r="P3" s="1056"/>
      <c r="Q3" s="1056"/>
    </row>
    <row r="4" spans="1:20" ht="12" thickBot="1">
      <c r="A4" s="566"/>
      <c r="B4" s="566"/>
      <c r="C4" s="1061" t="s">
        <v>810</v>
      </c>
      <c r="D4" s="1061"/>
      <c r="E4" s="1061"/>
      <c r="F4" s="1061"/>
      <c r="G4" s="1061"/>
      <c r="H4" s="1061"/>
      <c r="I4" s="1061"/>
      <c r="J4" s="1061"/>
      <c r="K4" s="1061"/>
      <c r="L4" s="1061"/>
      <c r="M4" s="1061"/>
      <c r="N4" s="1061"/>
      <c r="O4" s="1061"/>
      <c r="P4" s="1061"/>
      <c r="Q4" s="1061"/>
    </row>
    <row r="5" spans="1:20" ht="16.5" customHeight="1" thickTop="1" thickBot="1">
      <c r="A5" s="1062"/>
      <c r="B5" s="1062"/>
      <c r="C5" s="1063" t="s">
        <v>63</v>
      </c>
      <c r="D5" s="1064" t="s">
        <v>64</v>
      </c>
      <c r="E5" s="1065" t="s">
        <v>65</v>
      </c>
      <c r="F5" s="1064" t="s">
        <v>6</v>
      </c>
      <c r="G5" s="1064" t="s">
        <v>66</v>
      </c>
      <c r="H5" s="1066" t="s">
        <v>67</v>
      </c>
      <c r="I5" s="1066"/>
      <c r="J5" s="1066"/>
      <c r="K5" s="1066"/>
      <c r="L5" s="1066"/>
      <c r="M5" s="1066"/>
      <c r="N5" s="1066"/>
      <c r="O5" s="1066"/>
      <c r="P5" s="1066"/>
      <c r="Q5" s="1066"/>
    </row>
    <row r="6" spans="1:20" ht="30" customHeight="1" thickTop="1" thickBot="1">
      <c r="A6" s="1062"/>
      <c r="B6" s="1062"/>
      <c r="C6" s="1063"/>
      <c r="D6" s="1064"/>
      <c r="E6" s="1065"/>
      <c r="F6" s="1064"/>
      <c r="G6" s="1064"/>
      <c r="H6" s="450" t="s">
        <v>49</v>
      </c>
      <c r="I6" s="450" t="s">
        <v>51</v>
      </c>
      <c r="J6" s="450" t="s">
        <v>34</v>
      </c>
      <c r="K6" s="450" t="s">
        <v>36</v>
      </c>
      <c r="L6" s="450" t="s">
        <v>38</v>
      </c>
      <c r="M6" s="450" t="s">
        <v>40</v>
      </c>
      <c r="N6" s="450" t="s">
        <v>42</v>
      </c>
      <c r="O6" s="450" t="s">
        <v>44</v>
      </c>
      <c r="P6" s="450" t="s">
        <v>46</v>
      </c>
      <c r="Q6" s="125" t="s">
        <v>68</v>
      </c>
    </row>
    <row r="7" spans="1:20" ht="50.25" customHeight="1" thickTop="1">
      <c r="A7" s="566"/>
      <c r="B7" s="566"/>
      <c r="C7" s="1063"/>
      <c r="D7" s="1064"/>
      <c r="E7" s="1065"/>
      <c r="F7" s="449" t="s">
        <v>69</v>
      </c>
      <c r="G7" s="1064"/>
      <c r="H7" s="451" t="s">
        <v>70</v>
      </c>
      <c r="I7" s="451" t="s">
        <v>71</v>
      </c>
      <c r="J7" s="451" t="s">
        <v>72</v>
      </c>
      <c r="K7" s="451" t="s">
        <v>73</v>
      </c>
      <c r="L7" s="451" t="s">
        <v>74</v>
      </c>
      <c r="M7" s="451" t="s">
        <v>75</v>
      </c>
      <c r="N7" s="451" t="s">
        <v>76</v>
      </c>
      <c r="O7" s="451" t="s">
        <v>77</v>
      </c>
      <c r="P7" s="451" t="s">
        <v>78</v>
      </c>
      <c r="Q7" s="568" t="s">
        <v>68</v>
      </c>
      <c r="R7" s="569"/>
      <c r="S7" s="569"/>
    </row>
    <row r="8" spans="1:20" ht="15" customHeight="1">
      <c r="A8" s="566"/>
      <c r="B8" s="566"/>
      <c r="C8" s="126">
        <v>17</v>
      </c>
      <c r="D8" s="127" t="s">
        <v>79</v>
      </c>
      <c r="E8" s="452" t="s">
        <v>80</v>
      </c>
      <c r="F8" s="127">
        <v>2025</v>
      </c>
      <c r="G8" s="36" t="s">
        <v>81</v>
      </c>
      <c r="H8" s="453"/>
      <c r="I8" s="453">
        <f>'Aneksi nr.1'!G33</f>
        <v>15937000000</v>
      </c>
      <c r="J8" s="453">
        <v>8866684000</v>
      </c>
      <c r="K8" s="453">
        <v>1526300000</v>
      </c>
      <c r="L8" s="453">
        <v>7333836000</v>
      </c>
      <c r="M8" s="453">
        <v>0</v>
      </c>
      <c r="N8" s="453">
        <v>6000000000</v>
      </c>
      <c r="O8" s="453">
        <v>293424000</v>
      </c>
      <c r="P8" s="453">
        <v>516250000</v>
      </c>
      <c r="Q8" s="570">
        <f>SUM(H8:P8)</f>
        <v>40473494000</v>
      </c>
      <c r="R8" s="129"/>
      <c r="S8" s="129"/>
      <c r="T8" s="129"/>
    </row>
    <row r="9" spans="1:20" ht="15" customHeight="1">
      <c r="A9" s="566"/>
      <c r="B9" s="566"/>
      <c r="C9" s="126">
        <v>17</v>
      </c>
      <c r="D9" s="127" t="s">
        <v>79</v>
      </c>
      <c r="E9" s="452" t="s">
        <v>80</v>
      </c>
      <c r="F9" s="127">
        <v>2025</v>
      </c>
      <c r="G9" s="36" t="s">
        <v>82</v>
      </c>
      <c r="H9" s="453">
        <v>151837000</v>
      </c>
      <c r="I9" s="453">
        <v>13553018000</v>
      </c>
      <c r="J9" s="453">
        <v>10594510098</v>
      </c>
      <c r="K9" s="453">
        <v>1774860000</v>
      </c>
      <c r="L9" s="453">
        <v>8455164000</v>
      </c>
      <c r="M9" s="453">
        <v>0</v>
      </c>
      <c r="N9" s="453">
        <v>5868230000</v>
      </c>
      <c r="O9" s="453">
        <v>251424000</v>
      </c>
      <c r="P9" s="453">
        <v>664430000</v>
      </c>
      <c r="Q9" s="570">
        <f>SUM(H9:P9)</f>
        <v>41313473098</v>
      </c>
    </row>
    <row r="10" spans="1:20" ht="15" customHeight="1">
      <c r="A10" s="566"/>
      <c r="B10" s="566"/>
      <c r="C10" s="126">
        <v>17</v>
      </c>
      <c r="D10" s="127" t="s">
        <v>79</v>
      </c>
      <c r="E10" s="452" t="s">
        <v>80</v>
      </c>
      <c r="F10" s="127">
        <v>2025</v>
      </c>
      <c r="G10" s="36" t="s">
        <v>83</v>
      </c>
      <c r="H10" s="453">
        <v>140022118.73000002</v>
      </c>
      <c r="I10" s="453">
        <v>12150680395.98</v>
      </c>
      <c r="J10" s="453">
        <v>10536588852</v>
      </c>
      <c r="K10" s="453">
        <v>1757112917</v>
      </c>
      <c r="L10" s="453">
        <v>8252993038</v>
      </c>
      <c r="M10" s="453">
        <v>0</v>
      </c>
      <c r="N10" s="453">
        <v>5819088885.8299999</v>
      </c>
      <c r="O10" s="453">
        <v>251389673</v>
      </c>
      <c r="P10" s="453">
        <v>634933055</v>
      </c>
      <c r="Q10" s="570">
        <f t="shared" ref="Q10:Q27" si="0">SUM(H10:P10)</f>
        <v>39542808935.540001</v>
      </c>
    </row>
    <row r="11" spans="1:20" ht="15" customHeight="1">
      <c r="A11" s="566"/>
      <c r="B11" s="566"/>
      <c r="C11" s="126">
        <v>17</v>
      </c>
      <c r="D11" s="127" t="s">
        <v>79</v>
      </c>
      <c r="E11" s="452" t="s">
        <v>80</v>
      </c>
      <c r="F11" s="127">
        <v>2025</v>
      </c>
      <c r="G11" s="36" t="s">
        <v>84</v>
      </c>
      <c r="H11" s="453"/>
      <c r="I11" s="453"/>
      <c r="J11" s="453"/>
      <c r="K11" s="453"/>
      <c r="L11" s="453"/>
      <c r="M11" s="453"/>
      <c r="N11" s="453"/>
      <c r="O11" s="453"/>
      <c r="P11" s="453"/>
      <c r="Q11" s="570">
        <f t="shared" si="0"/>
        <v>0</v>
      </c>
    </row>
    <row r="12" spans="1:20" ht="15" customHeight="1">
      <c r="A12" s="566"/>
      <c r="B12" s="566"/>
      <c r="C12" s="126">
        <v>17</v>
      </c>
      <c r="D12" s="127" t="s">
        <v>85</v>
      </c>
      <c r="E12" s="452" t="s">
        <v>86</v>
      </c>
      <c r="F12" s="127">
        <v>2025</v>
      </c>
      <c r="G12" s="36" t="s">
        <v>81</v>
      </c>
      <c r="H12" s="453">
        <v>12212050000</v>
      </c>
      <c r="I12" s="453"/>
      <c r="J12" s="453"/>
      <c r="K12" s="453"/>
      <c r="L12" s="453"/>
      <c r="M12" s="453"/>
      <c r="N12" s="453"/>
      <c r="O12" s="453"/>
      <c r="P12" s="453"/>
      <c r="Q12" s="570">
        <f>SUM(H12:P12)</f>
        <v>12212050000</v>
      </c>
    </row>
    <row r="13" spans="1:20" ht="15" customHeight="1">
      <c r="A13" s="566"/>
      <c r="B13" s="566"/>
      <c r="C13" s="126">
        <v>17</v>
      </c>
      <c r="D13" s="127" t="s">
        <v>85</v>
      </c>
      <c r="E13" s="452" t="s">
        <v>86</v>
      </c>
      <c r="F13" s="127">
        <v>2025</v>
      </c>
      <c r="G13" s="36" t="s">
        <v>82</v>
      </c>
      <c r="H13" s="453">
        <v>12114450000</v>
      </c>
      <c r="I13" s="453"/>
      <c r="J13" s="453"/>
      <c r="K13" s="453"/>
      <c r="L13" s="453"/>
      <c r="M13" s="453"/>
      <c r="N13" s="453"/>
      <c r="O13" s="453"/>
      <c r="P13" s="453"/>
      <c r="Q13" s="570">
        <f t="shared" si="0"/>
        <v>12114450000</v>
      </c>
    </row>
    <row r="14" spans="1:20" ht="15" customHeight="1">
      <c r="A14" s="566"/>
      <c r="B14" s="566"/>
      <c r="C14" s="126">
        <v>17</v>
      </c>
      <c r="D14" s="127" t="s">
        <v>85</v>
      </c>
      <c r="E14" s="452" t="s">
        <v>86</v>
      </c>
      <c r="F14" s="127">
        <v>2025</v>
      </c>
      <c r="G14" s="36" t="s">
        <v>83</v>
      </c>
      <c r="H14" s="453">
        <v>0</v>
      </c>
      <c r="I14" s="453"/>
      <c r="J14" s="453"/>
      <c r="K14" s="453"/>
      <c r="L14" s="453"/>
      <c r="M14" s="453"/>
      <c r="N14" s="453"/>
      <c r="O14" s="453"/>
      <c r="P14" s="453"/>
      <c r="Q14" s="570">
        <f t="shared" si="0"/>
        <v>0</v>
      </c>
    </row>
    <row r="15" spans="1:20" ht="15" customHeight="1">
      <c r="A15" s="566"/>
      <c r="B15" s="566"/>
      <c r="C15" s="126">
        <v>17</v>
      </c>
      <c r="D15" s="127" t="s">
        <v>85</v>
      </c>
      <c r="E15" s="452" t="s">
        <v>86</v>
      </c>
      <c r="F15" s="127">
        <v>2025</v>
      </c>
      <c r="G15" s="36" t="s">
        <v>84</v>
      </c>
      <c r="H15" s="453"/>
      <c r="I15" s="453"/>
      <c r="J15" s="453"/>
      <c r="K15" s="453"/>
      <c r="L15" s="453"/>
      <c r="M15" s="453"/>
      <c r="N15" s="453"/>
      <c r="O15" s="453"/>
      <c r="P15" s="453"/>
      <c r="Q15" s="570">
        <f>SUM(H15:P15)</f>
        <v>0</v>
      </c>
    </row>
    <row r="16" spans="1:20" ht="15" customHeight="1">
      <c r="A16" s="566"/>
      <c r="B16" s="566"/>
      <c r="C16" s="126">
        <v>17</v>
      </c>
      <c r="D16" s="127" t="s">
        <v>87</v>
      </c>
      <c r="E16" s="452" t="s">
        <v>88</v>
      </c>
      <c r="F16" s="127">
        <v>2025</v>
      </c>
      <c r="G16" s="36" t="s">
        <v>81</v>
      </c>
      <c r="H16" s="453"/>
      <c r="I16" s="453"/>
      <c r="J16" s="453"/>
      <c r="K16" s="453"/>
      <c r="L16" s="453"/>
      <c r="M16" s="453"/>
      <c r="N16" s="453"/>
      <c r="O16" s="453"/>
      <c r="P16" s="453"/>
      <c r="Q16" s="570">
        <f t="shared" si="0"/>
        <v>0</v>
      </c>
    </row>
    <row r="17" spans="1:18" ht="15" customHeight="1">
      <c r="A17" s="566"/>
      <c r="B17" s="566"/>
      <c r="C17" s="126">
        <v>17</v>
      </c>
      <c r="D17" s="127" t="s">
        <v>87</v>
      </c>
      <c r="E17" s="452" t="s">
        <v>88</v>
      </c>
      <c r="F17" s="127">
        <v>2025</v>
      </c>
      <c r="G17" s="36" t="s">
        <v>82</v>
      </c>
      <c r="H17" s="453"/>
      <c r="I17" s="453"/>
      <c r="J17" s="453"/>
      <c r="K17" s="453"/>
      <c r="L17" s="453"/>
      <c r="M17" s="453"/>
      <c r="N17" s="453"/>
      <c r="O17" s="453"/>
      <c r="P17" s="453"/>
      <c r="Q17" s="570">
        <f t="shared" si="0"/>
        <v>0</v>
      </c>
    </row>
    <row r="18" spans="1:18" ht="15" customHeight="1">
      <c r="A18" s="566"/>
      <c r="B18" s="566"/>
      <c r="C18" s="126">
        <v>17</v>
      </c>
      <c r="D18" s="127" t="s">
        <v>87</v>
      </c>
      <c r="E18" s="452" t="s">
        <v>88</v>
      </c>
      <c r="F18" s="127">
        <v>2025</v>
      </c>
      <c r="G18" s="36" t="s">
        <v>83</v>
      </c>
      <c r="H18" s="453">
        <v>0</v>
      </c>
      <c r="I18" s="453">
        <v>0</v>
      </c>
      <c r="J18" s="453">
        <v>0</v>
      </c>
      <c r="K18" s="453">
        <v>0</v>
      </c>
      <c r="L18" s="453">
        <v>0</v>
      </c>
      <c r="M18" s="453">
        <v>0</v>
      </c>
      <c r="N18" s="453">
        <v>0</v>
      </c>
      <c r="O18" s="453">
        <v>0</v>
      </c>
      <c r="P18" s="453">
        <v>0</v>
      </c>
      <c r="Q18" s="570">
        <f t="shared" si="0"/>
        <v>0</v>
      </c>
    </row>
    <row r="19" spans="1:18" ht="15" customHeight="1">
      <c r="A19" s="566"/>
      <c r="B19" s="566"/>
      <c r="C19" s="126">
        <v>17</v>
      </c>
      <c r="D19" s="127" t="s">
        <v>87</v>
      </c>
      <c r="E19" s="452" t="s">
        <v>88</v>
      </c>
      <c r="F19" s="127">
        <v>2025</v>
      </c>
      <c r="G19" s="36" t="s">
        <v>84</v>
      </c>
      <c r="H19" s="453">
        <v>0</v>
      </c>
      <c r="I19" s="453">
        <v>0</v>
      </c>
      <c r="J19" s="453">
        <v>0</v>
      </c>
      <c r="K19" s="453">
        <v>0</v>
      </c>
      <c r="L19" s="453">
        <v>0</v>
      </c>
      <c r="M19" s="453">
        <v>0</v>
      </c>
      <c r="N19" s="453">
        <v>0</v>
      </c>
      <c r="O19" s="453">
        <v>0</v>
      </c>
      <c r="P19" s="453">
        <v>0</v>
      </c>
      <c r="Q19" s="570">
        <f t="shared" si="0"/>
        <v>0</v>
      </c>
    </row>
    <row r="20" spans="1:18" ht="15" customHeight="1">
      <c r="A20" s="566"/>
      <c r="B20" s="566"/>
      <c r="C20" s="126">
        <v>17</v>
      </c>
      <c r="D20" s="127"/>
      <c r="E20" s="452" t="s">
        <v>68</v>
      </c>
      <c r="F20" s="127">
        <v>2025</v>
      </c>
      <c r="G20" s="36" t="s">
        <v>81</v>
      </c>
      <c r="H20" s="571"/>
      <c r="I20" s="453">
        <f>I8+12212050000</f>
        <v>28149050000</v>
      </c>
      <c r="J20" s="453">
        <f t="shared" ref="J20:P20" si="1">J8</f>
        <v>8866684000</v>
      </c>
      <c r="K20" s="453">
        <f t="shared" si="1"/>
        <v>1526300000</v>
      </c>
      <c r="L20" s="453">
        <f t="shared" si="1"/>
        <v>7333836000</v>
      </c>
      <c r="M20" s="453">
        <f t="shared" si="1"/>
        <v>0</v>
      </c>
      <c r="N20" s="453">
        <f t="shared" si="1"/>
        <v>6000000000</v>
      </c>
      <c r="O20" s="453">
        <f t="shared" si="1"/>
        <v>293424000</v>
      </c>
      <c r="P20" s="453">
        <f t="shared" si="1"/>
        <v>516250000</v>
      </c>
      <c r="Q20" s="570">
        <f>SUM(H20:P20)</f>
        <v>52685544000</v>
      </c>
      <c r="R20" s="321"/>
    </row>
    <row r="21" spans="1:18" ht="15" customHeight="1">
      <c r="A21" s="566"/>
      <c r="B21" s="566"/>
      <c r="C21" s="126">
        <v>17</v>
      </c>
      <c r="D21" s="127"/>
      <c r="E21" s="452" t="s">
        <v>68</v>
      </c>
      <c r="F21" s="127">
        <v>2025</v>
      </c>
      <c r="G21" s="36" t="s">
        <v>82</v>
      </c>
      <c r="H21" s="453">
        <f t="shared" ref="H21:P22" si="2">H9</f>
        <v>151837000</v>
      </c>
      <c r="I21" s="453">
        <f t="shared" si="2"/>
        <v>13553018000</v>
      </c>
      <c r="J21" s="453">
        <f t="shared" si="2"/>
        <v>10594510098</v>
      </c>
      <c r="K21" s="453">
        <f t="shared" si="2"/>
        <v>1774860000</v>
      </c>
      <c r="L21" s="453">
        <f t="shared" si="2"/>
        <v>8455164000</v>
      </c>
      <c r="M21" s="453">
        <f t="shared" si="2"/>
        <v>0</v>
      </c>
      <c r="N21" s="453">
        <f t="shared" si="2"/>
        <v>5868230000</v>
      </c>
      <c r="O21" s="453">
        <f t="shared" si="2"/>
        <v>251424000</v>
      </c>
      <c r="P21" s="453">
        <f t="shared" si="2"/>
        <v>664430000</v>
      </c>
      <c r="Q21" s="570">
        <f>SUM(H21:P21)</f>
        <v>41313473098</v>
      </c>
    </row>
    <row r="22" spans="1:18" ht="15" customHeight="1">
      <c r="A22" s="566"/>
      <c r="B22" s="566"/>
      <c r="C22" s="126">
        <v>17</v>
      </c>
      <c r="D22" s="127"/>
      <c r="E22" s="452" t="s">
        <v>68</v>
      </c>
      <c r="F22" s="127">
        <v>2025</v>
      </c>
      <c r="G22" s="36" t="s">
        <v>83</v>
      </c>
      <c r="H22" s="453">
        <f t="shared" si="2"/>
        <v>140022118.73000002</v>
      </c>
      <c r="I22" s="453">
        <f t="shared" si="2"/>
        <v>12150680395.98</v>
      </c>
      <c r="J22" s="453">
        <f t="shared" si="2"/>
        <v>10536588852</v>
      </c>
      <c r="K22" s="453">
        <f t="shared" si="2"/>
        <v>1757112917</v>
      </c>
      <c r="L22" s="453">
        <f t="shared" si="2"/>
        <v>8252993038</v>
      </c>
      <c r="M22" s="453">
        <f t="shared" si="2"/>
        <v>0</v>
      </c>
      <c r="N22" s="453">
        <f t="shared" si="2"/>
        <v>5819088885.8299999</v>
      </c>
      <c r="O22" s="453">
        <f t="shared" si="2"/>
        <v>251389673</v>
      </c>
      <c r="P22" s="453">
        <f t="shared" si="2"/>
        <v>634933055</v>
      </c>
      <c r="Q22" s="570">
        <f>SUM(H22:P22)</f>
        <v>39542808935.540001</v>
      </c>
    </row>
    <row r="23" spans="1:18" ht="15" customHeight="1">
      <c r="A23" s="566"/>
      <c r="B23" s="566"/>
      <c r="C23" s="126">
        <v>17</v>
      </c>
      <c r="D23" s="127"/>
      <c r="E23" s="452" t="s">
        <v>68</v>
      </c>
      <c r="F23" s="127">
        <v>2025</v>
      </c>
      <c r="G23" s="36" t="s">
        <v>84</v>
      </c>
      <c r="H23" s="453">
        <f>H11+H15+H19</f>
        <v>0</v>
      </c>
      <c r="I23" s="453">
        <f t="shared" ref="I23:P23" si="3">I11+I15+I19</f>
        <v>0</v>
      </c>
      <c r="J23" s="453">
        <f t="shared" si="3"/>
        <v>0</v>
      </c>
      <c r="K23" s="453">
        <f t="shared" si="3"/>
        <v>0</v>
      </c>
      <c r="L23" s="453">
        <f t="shared" si="3"/>
        <v>0</v>
      </c>
      <c r="M23" s="453">
        <f t="shared" si="3"/>
        <v>0</v>
      </c>
      <c r="N23" s="453">
        <f t="shared" si="3"/>
        <v>0</v>
      </c>
      <c r="O23" s="453">
        <f t="shared" si="3"/>
        <v>0</v>
      </c>
      <c r="P23" s="453">
        <f t="shared" si="3"/>
        <v>0</v>
      </c>
      <c r="Q23" s="570">
        <f t="shared" si="0"/>
        <v>0</v>
      </c>
    </row>
    <row r="24" spans="1:18" ht="24" customHeight="1">
      <c r="A24" s="566"/>
      <c r="B24" s="566"/>
      <c r="C24" s="126">
        <v>17</v>
      </c>
      <c r="D24" s="127"/>
      <c r="E24" s="452" t="s">
        <v>89</v>
      </c>
      <c r="F24" s="127">
        <v>2025</v>
      </c>
      <c r="G24" s="36"/>
      <c r="H24" s="571">
        <f>H21-H22</f>
        <v>11814881.269999981</v>
      </c>
      <c r="I24" s="571">
        <f>I21-I22</f>
        <v>1402337604.0200005</v>
      </c>
      <c r="J24" s="571">
        <f t="shared" ref="J24:Q24" si="4">J21-J22</f>
        <v>57921246</v>
      </c>
      <c r="K24" s="571">
        <f t="shared" si="4"/>
        <v>17747083</v>
      </c>
      <c r="L24" s="571">
        <f t="shared" si="4"/>
        <v>202170962</v>
      </c>
      <c r="M24" s="571">
        <f t="shared" si="4"/>
        <v>0</v>
      </c>
      <c r="N24" s="571">
        <f t="shared" si="4"/>
        <v>49141114.170000076</v>
      </c>
      <c r="O24" s="571">
        <f t="shared" si="4"/>
        <v>34327</v>
      </c>
      <c r="P24" s="571">
        <f t="shared" si="4"/>
        <v>29496945</v>
      </c>
      <c r="Q24" s="571">
        <f t="shared" si="4"/>
        <v>1770664162.4599991</v>
      </c>
    </row>
    <row r="25" spans="1:18" ht="20.25" customHeight="1">
      <c r="A25" s="566"/>
      <c r="B25" s="566"/>
      <c r="C25" s="572">
        <v>17</v>
      </c>
      <c r="D25" s="573"/>
      <c r="E25" s="574" t="s">
        <v>90</v>
      </c>
      <c r="F25" s="573">
        <v>2025</v>
      </c>
      <c r="G25" s="575"/>
      <c r="H25" s="576">
        <f>H22/H21*100</f>
        <v>92.218707383575818</v>
      </c>
      <c r="I25" s="576">
        <f>I22/I21*100</f>
        <v>89.652949593810021</v>
      </c>
      <c r="J25" s="576">
        <f t="shared" ref="J25:Q25" si="5">J22/J21*100</f>
        <v>99.453290001479786</v>
      </c>
      <c r="K25" s="576">
        <f t="shared" si="5"/>
        <v>99.000085471530156</v>
      </c>
      <c r="L25" s="576">
        <f t="shared" si="5"/>
        <v>97.608905492548686</v>
      </c>
      <c r="M25" s="576">
        <v>0</v>
      </c>
      <c r="N25" s="576">
        <f t="shared" si="5"/>
        <v>99.162590522695936</v>
      </c>
      <c r="O25" s="576">
        <f>O22/O21*100</f>
        <v>99.986346967672134</v>
      </c>
      <c r="P25" s="576">
        <f>P22/P21*100</f>
        <v>95.560563942025496</v>
      </c>
      <c r="Q25" s="576">
        <f t="shared" si="5"/>
        <v>95.714075748945646</v>
      </c>
    </row>
    <row r="26" spans="1:18" ht="22.5" customHeight="1">
      <c r="A26" s="566"/>
      <c r="B26" s="566"/>
      <c r="C26" s="126">
        <v>17</v>
      </c>
      <c r="D26" s="127" t="s">
        <v>91</v>
      </c>
      <c r="E26" s="452" t="s">
        <v>92</v>
      </c>
      <c r="F26" s="127">
        <v>2025</v>
      </c>
      <c r="G26" s="36" t="s">
        <v>83</v>
      </c>
      <c r="H26" s="577">
        <v>202276000</v>
      </c>
      <c r="I26" s="453"/>
      <c r="J26" s="453"/>
      <c r="K26" s="453"/>
      <c r="L26" s="453"/>
      <c r="M26" s="453"/>
      <c r="N26" s="453"/>
      <c r="O26" s="453"/>
      <c r="P26" s="453"/>
      <c r="Q26" s="570">
        <f>SUM(H26:P26)</f>
        <v>202276000</v>
      </c>
    </row>
    <row r="27" spans="1:18" ht="25.5" customHeight="1">
      <c r="A27" s="566"/>
      <c r="B27" s="566"/>
      <c r="C27" s="126">
        <v>17</v>
      </c>
      <c r="D27" s="127" t="s">
        <v>91</v>
      </c>
      <c r="E27" s="452" t="s">
        <v>92</v>
      </c>
      <c r="F27" s="127">
        <v>2025</v>
      </c>
      <c r="G27" s="36" t="s">
        <v>84</v>
      </c>
      <c r="H27" s="453"/>
      <c r="I27" s="453"/>
      <c r="J27" s="453"/>
      <c r="K27" s="453"/>
      <c r="L27" s="453"/>
      <c r="M27" s="453"/>
      <c r="N27" s="453"/>
      <c r="O27" s="453"/>
      <c r="P27" s="453"/>
      <c r="Q27" s="570">
        <f t="shared" si="0"/>
        <v>0</v>
      </c>
    </row>
    <row r="29" spans="1:18" ht="12" hidden="1" thickBot="1"/>
    <row r="30" spans="1:18" ht="12" hidden="1" thickBot="1">
      <c r="F30" s="578"/>
      <c r="G30" s="1057" t="s">
        <v>807</v>
      </c>
      <c r="H30" s="1058"/>
      <c r="I30" s="1058"/>
      <c r="J30" s="1058"/>
      <c r="K30" s="1058"/>
      <c r="L30" s="1059"/>
    </row>
    <row r="31" spans="1:18" ht="12" hidden="1" thickBot="1">
      <c r="F31" s="579" t="s">
        <v>794</v>
      </c>
      <c r="G31" s="580" t="s">
        <v>795</v>
      </c>
      <c r="H31" s="581" t="s">
        <v>796</v>
      </c>
      <c r="I31" s="582">
        <v>6009999</v>
      </c>
      <c r="J31" s="580">
        <v>6029999</v>
      </c>
      <c r="K31" s="580">
        <v>2319999</v>
      </c>
      <c r="L31" s="580" t="s">
        <v>537</v>
      </c>
    </row>
    <row r="32" spans="1:18" ht="12" hidden="1" thickBot="1">
      <c r="F32" s="583">
        <v>17</v>
      </c>
      <c r="G32" s="322" t="s">
        <v>28</v>
      </c>
      <c r="H32" s="584">
        <v>6</v>
      </c>
      <c r="I32" s="584"/>
      <c r="J32" s="585">
        <v>24637</v>
      </c>
      <c r="K32" s="585">
        <v>115450</v>
      </c>
      <c r="L32" s="585">
        <f>I32+J32+K32</f>
        <v>140087</v>
      </c>
    </row>
    <row r="33" spans="6:12" ht="12" hidden="1" thickBot="1">
      <c r="F33" s="583">
        <v>17</v>
      </c>
      <c r="G33" s="220" t="s">
        <v>185</v>
      </c>
      <c r="H33" s="586">
        <v>6</v>
      </c>
      <c r="I33" s="587"/>
      <c r="J33" s="586">
        <v>933</v>
      </c>
      <c r="K33" s="588">
        <v>2211</v>
      </c>
      <c r="L33" s="585">
        <f t="shared" ref="L33:L37" si="6">I33+J33+K33</f>
        <v>3144</v>
      </c>
    </row>
    <row r="34" spans="6:12" ht="12" hidden="1" thickBot="1">
      <c r="F34" s="583">
        <v>17</v>
      </c>
      <c r="G34" s="220" t="s">
        <v>187</v>
      </c>
      <c r="H34" s="586">
        <v>6</v>
      </c>
      <c r="I34" s="587"/>
      <c r="J34" s="586">
        <v>599</v>
      </c>
      <c r="K34" s="588">
        <v>16478</v>
      </c>
      <c r="L34" s="585">
        <f t="shared" si="6"/>
        <v>17077</v>
      </c>
    </row>
    <row r="35" spans="6:12" ht="12" hidden="1" thickBot="1">
      <c r="F35" s="583">
        <v>17</v>
      </c>
      <c r="G35" s="220" t="s">
        <v>527</v>
      </c>
      <c r="H35" s="586">
        <v>6</v>
      </c>
      <c r="I35" s="586">
        <v>671</v>
      </c>
      <c r="J35" s="588">
        <v>3742</v>
      </c>
      <c r="K35" s="586">
        <v>0</v>
      </c>
      <c r="L35" s="585">
        <f t="shared" si="6"/>
        <v>4413</v>
      </c>
    </row>
    <row r="36" spans="6:12" ht="12" hidden="1" thickBot="1">
      <c r="F36" s="583">
        <v>17</v>
      </c>
      <c r="G36" s="220" t="s">
        <v>189</v>
      </c>
      <c r="H36" s="586">
        <v>6</v>
      </c>
      <c r="I36" s="586">
        <v>3274</v>
      </c>
      <c r="J36" s="588">
        <v>4985</v>
      </c>
      <c r="K36" s="586">
        <v>21929</v>
      </c>
      <c r="L36" s="585">
        <f t="shared" si="6"/>
        <v>30188</v>
      </c>
    </row>
    <row r="37" spans="6:12" ht="12" hidden="1" thickBot="1">
      <c r="F37" s="583">
        <v>17</v>
      </c>
      <c r="G37" s="323" t="s">
        <v>797</v>
      </c>
      <c r="H37" s="586">
        <v>6</v>
      </c>
      <c r="I37" s="588">
        <v>0</v>
      </c>
      <c r="J37" s="588">
        <v>3637</v>
      </c>
      <c r="K37" s="588">
        <v>3731</v>
      </c>
      <c r="L37" s="585">
        <f t="shared" si="6"/>
        <v>7368</v>
      </c>
    </row>
    <row r="38" spans="6:12" ht="12" hidden="1" thickBot="1">
      <c r="F38" s="1057" t="s">
        <v>539</v>
      </c>
      <c r="G38" s="1058"/>
      <c r="H38" s="1059"/>
      <c r="I38" s="589">
        <f>SUM(I32:I37)</f>
        <v>3945</v>
      </c>
      <c r="J38" s="589">
        <f t="shared" ref="J38:K38" si="7">SUM(J32:J37)</f>
        <v>38533</v>
      </c>
      <c r="K38" s="589">
        <f t="shared" si="7"/>
        <v>159799</v>
      </c>
      <c r="L38" s="589">
        <f>SUM(L32:L37)</f>
        <v>202277</v>
      </c>
    </row>
    <row r="39" spans="6:12" hidden="1"/>
    <row r="40" spans="6:12" hidden="1">
      <c r="G40" s="454" t="s">
        <v>806</v>
      </c>
      <c r="H40" s="590"/>
      <c r="I40" s="454"/>
    </row>
    <row r="41" spans="6:12" hidden="1">
      <c r="G41" s="454" t="s">
        <v>804</v>
      </c>
      <c r="H41" s="590"/>
      <c r="I41" s="454">
        <v>115280000</v>
      </c>
    </row>
    <row r="42" spans="6:12" hidden="1">
      <c r="G42" s="454" t="s">
        <v>805</v>
      </c>
      <c r="H42" s="590"/>
      <c r="I42" s="454">
        <v>111678000</v>
      </c>
    </row>
    <row r="43" spans="6:12" hidden="1">
      <c r="G43" s="454" t="s">
        <v>808</v>
      </c>
      <c r="H43" s="590"/>
      <c r="I43" s="454">
        <v>24682000</v>
      </c>
    </row>
    <row r="44" spans="6:12" hidden="1">
      <c r="G44" s="454" t="s">
        <v>809</v>
      </c>
      <c r="H44" s="590"/>
      <c r="I44" s="454">
        <f>I41+I42-I43</f>
        <v>202276000</v>
      </c>
    </row>
    <row r="45" spans="6:12" hidden="1"/>
    <row r="46" spans="6:12" hidden="1"/>
    <row r="47" spans="6:12" hidden="1"/>
  </sheetData>
  <mergeCells count="12">
    <mergeCell ref="A5:B6"/>
    <mergeCell ref="C5:C7"/>
    <mergeCell ref="D5:D7"/>
    <mergeCell ref="E5:E7"/>
    <mergeCell ref="F5:F6"/>
    <mergeCell ref="C3:Q3"/>
    <mergeCell ref="G30:L30"/>
    <mergeCell ref="F38:H38"/>
    <mergeCell ref="C2:Q2"/>
    <mergeCell ref="C4:Q4"/>
    <mergeCell ref="G5:G7"/>
    <mergeCell ref="H5:Q5"/>
  </mergeCells>
  <pageMargins left="0.28999999999999998" right="0.17" top="0.44" bottom="0.27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C4:J15"/>
  <sheetViews>
    <sheetView workbookViewId="0">
      <selection activeCell="F13" sqref="F13"/>
    </sheetView>
  </sheetViews>
  <sheetFormatPr defaultRowHeight="15"/>
  <cols>
    <col min="3" max="3" width="21.85546875" style="72" customWidth="1"/>
    <col min="4" max="4" width="11.7109375" customWidth="1"/>
    <col min="5" max="5" width="6.7109375" customWidth="1"/>
    <col min="8" max="8" width="15.42578125" customWidth="1"/>
  </cols>
  <sheetData>
    <row r="4" spans="3:10">
      <c r="D4" t="s">
        <v>567</v>
      </c>
      <c r="F4" t="s">
        <v>566</v>
      </c>
    </row>
    <row r="5" spans="3:10" ht="54.75" customHeight="1">
      <c r="C5" s="1068" t="s">
        <v>570</v>
      </c>
      <c r="D5" s="1067" t="s">
        <v>571</v>
      </c>
      <c r="E5" s="1067"/>
      <c r="F5" s="1067" t="s">
        <v>571</v>
      </c>
      <c r="G5" s="1067"/>
      <c r="H5" s="248" t="s">
        <v>572</v>
      </c>
      <c r="I5" s="248"/>
    </row>
    <row r="6" spans="3:10">
      <c r="C6" s="1069"/>
      <c r="D6" s="227" t="s">
        <v>523</v>
      </c>
      <c r="E6" s="227" t="s">
        <v>568</v>
      </c>
      <c r="F6" s="227" t="s">
        <v>523</v>
      </c>
      <c r="G6" s="227" t="s">
        <v>568</v>
      </c>
      <c r="H6" s="227" t="s">
        <v>523</v>
      </c>
      <c r="I6" s="227" t="s">
        <v>568</v>
      </c>
      <c r="J6" s="51"/>
    </row>
    <row r="7" spans="3:10" ht="30.75" customHeight="1">
      <c r="C7" s="247" t="s">
        <v>28</v>
      </c>
      <c r="D7" s="239">
        <v>398</v>
      </c>
      <c r="E7" s="228">
        <f>D7/D13*100</f>
        <v>4.4449408085771722</v>
      </c>
      <c r="F7" s="73">
        <v>333</v>
      </c>
      <c r="G7" s="228">
        <f>F7/F13*100</f>
        <v>3.9227235245611967</v>
      </c>
      <c r="H7" s="240">
        <f>D7-F7</f>
        <v>65</v>
      </c>
      <c r="I7" s="228">
        <f>H7/H13*100</f>
        <v>13.978494623655912</v>
      </c>
    </row>
    <row r="8" spans="3:10" ht="15.75">
      <c r="C8" s="247" t="s">
        <v>185</v>
      </c>
      <c r="D8" s="239">
        <v>4255</v>
      </c>
      <c r="E8" s="228">
        <f>D8/D13*100</f>
        <v>47.520661157024797</v>
      </c>
      <c r="F8" s="73">
        <v>4106</v>
      </c>
      <c r="G8" s="228">
        <f>F8/F13*100</f>
        <v>48.368476852397215</v>
      </c>
      <c r="H8" s="240">
        <f>D8-F8</f>
        <v>149</v>
      </c>
      <c r="I8" s="228">
        <f>H8/H13*100</f>
        <v>32.043010752688176</v>
      </c>
    </row>
    <row r="9" spans="3:10" ht="15.75">
      <c r="C9" s="247" t="s">
        <v>187</v>
      </c>
      <c r="D9" s="239">
        <v>3249</v>
      </c>
      <c r="E9" s="228">
        <f>D9/D13*100</f>
        <v>36.285459012731742</v>
      </c>
      <c r="F9" s="73">
        <v>3066</v>
      </c>
      <c r="G9" s="228">
        <f>F9/F13*100</f>
        <v>36.117328307221108</v>
      </c>
      <c r="H9" s="240">
        <f t="shared" ref="H9:H12" si="0">D9-F9</f>
        <v>183</v>
      </c>
      <c r="I9" s="228">
        <f>H9/H13*100</f>
        <v>39.354838709677423</v>
      </c>
    </row>
    <row r="10" spans="3:10" ht="15.75">
      <c r="C10" s="247" t="s">
        <v>191</v>
      </c>
      <c r="D10" s="239">
        <v>375</v>
      </c>
      <c r="E10" s="228">
        <f>D10/D13*100</f>
        <v>4.188072369890552</v>
      </c>
      <c r="F10" s="73">
        <v>343</v>
      </c>
      <c r="G10" s="228">
        <f>F10/F13*100</f>
        <v>4.0405230298032748</v>
      </c>
      <c r="H10" s="240">
        <f t="shared" si="0"/>
        <v>32</v>
      </c>
      <c r="I10" s="228">
        <f>H10/H13*100</f>
        <v>6.881720430107527</v>
      </c>
    </row>
    <row r="11" spans="3:10" ht="31.5">
      <c r="C11" s="247" t="s">
        <v>189</v>
      </c>
      <c r="D11" s="239">
        <v>481</v>
      </c>
      <c r="E11" s="228">
        <f>D11/D13*100</f>
        <v>5.3719008264462813</v>
      </c>
      <c r="F11" s="73">
        <v>468</v>
      </c>
      <c r="G11" s="228">
        <f>F11/F13*100</f>
        <v>5.5130168453292496</v>
      </c>
      <c r="H11" s="240">
        <f t="shared" si="0"/>
        <v>13</v>
      </c>
      <c r="I11" s="228">
        <f>H11/H13*100</f>
        <v>2.795698924731183</v>
      </c>
    </row>
    <row r="12" spans="3:10" ht="15.75">
      <c r="C12" s="247" t="s">
        <v>195</v>
      </c>
      <c r="D12" s="239">
        <v>196</v>
      </c>
      <c r="E12" s="228">
        <f>D12/D13*100</f>
        <v>2.1889658253294617</v>
      </c>
      <c r="F12" s="73">
        <v>173</v>
      </c>
      <c r="G12" s="228">
        <f>F12/F13*100</f>
        <v>2.0379314406879492</v>
      </c>
      <c r="H12" s="240">
        <f t="shared" si="0"/>
        <v>23</v>
      </c>
      <c r="I12" s="228">
        <f>H12/H13*100</f>
        <v>4.946236559139785</v>
      </c>
    </row>
    <row r="13" spans="3:10">
      <c r="C13" s="244" t="s">
        <v>569</v>
      </c>
      <c r="D13" s="241">
        <f>SUM(D7:D12)</f>
        <v>8954</v>
      </c>
      <c r="E13" s="245">
        <f>SUM(E7:E12)</f>
        <v>100</v>
      </c>
      <c r="F13" s="241">
        <f>SUM(F7:F12)</f>
        <v>8489</v>
      </c>
      <c r="G13" s="245">
        <f>SUM(G7:G12)</f>
        <v>99.999999999999986</v>
      </c>
      <c r="H13" s="242">
        <f>D13-F13</f>
        <v>465</v>
      </c>
      <c r="I13" s="246">
        <f>SUM(I7:I12)</f>
        <v>100</v>
      </c>
      <c r="J13" s="51"/>
    </row>
    <row r="15" spans="3:10" ht="15.75">
      <c r="C15" s="243"/>
    </row>
  </sheetData>
  <mergeCells count="3">
    <mergeCell ref="D5:E5"/>
    <mergeCell ref="F5:G5"/>
    <mergeCell ref="C5:C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S56"/>
  <sheetViews>
    <sheetView zoomScale="80" zoomScaleNormal="80" workbookViewId="0">
      <pane xSplit="5" ySplit="12" topLeftCell="F28" activePane="bottomRight" state="frozen"/>
      <selection pane="topRight" activeCell="F1" sqref="F1"/>
      <selection pane="bottomLeft" activeCell="A13" sqref="A13"/>
      <selection pane="bottomRight" activeCell="B4" sqref="B4:N4"/>
    </sheetView>
  </sheetViews>
  <sheetFormatPr defaultRowHeight="15"/>
  <cols>
    <col min="1" max="1" width="4.42578125" style="42" customWidth="1"/>
    <col min="2" max="2" width="11.5703125" style="42" customWidth="1"/>
    <col min="3" max="3" width="45.85546875" style="42" customWidth="1"/>
    <col min="4" max="4" width="14.42578125" style="71" customWidth="1"/>
    <col min="5" max="5" width="11.85546875" style="71" customWidth="1"/>
    <col min="6" max="6" width="14.42578125" style="71" customWidth="1"/>
    <col min="7" max="7" width="6.7109375" style="71" customWidth="1"/>
    <col min="8" max="8" width="18.7109375" style="71" customWidth="1"/>
    <col min="9" max="9" width="8.140625" style="71" customWidth="1"/>
    <col min="10" max="10" width="16.5703125" style="71" customWidth="1"/>
    <col min="11" max="11" width="14.28515625" style="71" customWidth="1"/>
    <col min="12" max="12" width="7.5703125" style="71" customWidth="1"/>
    <col min="13" max="13" width="13" style="71" customWidth="1"/>
    <col min="14" max="14" width="6.7109375" style="71" customWidth="1"/>
    <col min="15" max="15" width="22" style="42" customWidth="1"/>
    <col min="16" max="16" width="11.5703125" style="71" bestFit="1" customWidth="1"/>
    <col min="17" max="17" width="15.28515625" style="71" bestFit="1" customWidth="1"/>
    <col min="18" max="19" width="9.140625" style="71"/>
    <col min="20" max="16384" width="9.140625" style="42"/>
  </cols>
  <sheetData>
    <row r="1" spans="1:16">
      <c r="A1" s="310"/>
      <c r="B1" s="489"/>
      <c r="C1" s="490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</row>
    <row r="2" spans="1:16">
      <c r="A2" s="310"/>
      <c r="B2" s="1032" t="s">
        <v>112</v>
      </c>
      <c r="C2" s="1032"/>
      <c r="D2" s="1032"/>
      <c r="E2" s="1032"/>
      <c r="F2" s="1032"/>
      <c r="G2" s="1032"/>
      <c r="H2" s="1032"/>
      <c r="I2" s="1032"/>
      <c r="J2" s="1032"/>
      <c r="K2" s="1032"/>
      <c r="L2" s="1032"/>
      <c r="M2" s="1032"/>
      <c r="N2" s="1032"/>
    </row>
    <row r="3" spans="1:16">
      <c r="A3" s="310"/>
      <c r="B3" s="1033" t="s">
        <v>198</v>
      </c>
      <c r="C3" s="1033"/>
      <c r="D3" s="1033"/>
      <c r="E3" s="1033"/>
      <c r="F3" s="1033"/>
      <c r="G3" s="1033"/>
      <c r="H3" s="1033"/>
      <c r="I3" s="1033"/>
      <c r="J3" s="1033"/>
      <c r="K3" s="1033"/>
      <c r="L3" s="1033"/>
      <c r="M3" s="1033"/>
      <c r="N3" s="1033"/>
    </row>
    <row r="4" spans="1:16">
      <c r="A4" s="310"/>
      <c r="B4" s="1070" t="s">
        <v>1</v>
      </c>
      <c r="C4" s="1070"/>
      <c r="D4" s="1070"/>
      <c r="E4" s="1070"/>
      <c r="F4" s="1070"/>
      <c r="G4" s="1070"/>
      <c r="H4" s="1070"/>
      <c r="I4" s="1070"/>
      <c r="J4" s="1070"/>
      <c r="K4" s="1070"/>
      <c r="L4" s="1070"/>
      <c r="M4" s="1070"/>
      <c r="N4" s="1070"/>
    </row>
    <row r="5" spans="1:16" ht="15.75" thickBot="1">
      <c r="A5" s="1071"/>
      <c r="B5" s="492"/>
      <c r="C5" s="492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</row>
    <row r="6" spans="1:16" ht="16.5" thickTop="1" thickBot="1">
      <c r="A6" s="1071"/>
      <c r="B6" s="1072" t="s">
        <v>113</v>
      </c>
      <c r="C6" s="1073" t="s">
        <v>197</v>
      </c>
      <c r="D6" s="1073"/>
      <c r="E6" s="1073"/>
      <c r="F6" s="1074" t="s">
        <v>3</v>
      </c>
      <c r="G6" s="1074"/>
      <c r="H6" s="1075">
        <v>17</v>
      </c>
      <c r="I6" s="1075"/>
      <c r="J6" s="1075"/>
      <c r="K6" s="1075"/>
      <c r="L6" s="1075"/>
      <c r="M6" s="1075"/>
      <c r="N6" s="1075"/>
    </row>
    <row r="7" spans="1:16" ht="15.75" thickTop="1">
      <c r="A7" s="310"/>
      <c r="B7" s="1072"/>
      <c r="C7" s="1073"/>
      <c r="D7" s="1073"/>
      <c r="E7" s="1073"/>
      <c r="F7" s="1074"/>
      <c r="G7" s="1074"/>
      <c r="H7" s="1075"/>
      <c r="I7" s="1075"/>
      <c r="J7" s="1075"/>
      <c r="K7" s="1075"/>
      <c r="L7" s="1075"/>
      <c r="M7" s="1075"/>
      <c r="N7" s="1075"/>
    </row>
    <row r="8" spans="1:16">
      <c r="A8" s="310"/>
      <c r="B8" s="493" t="s">
        <v>114</v>
      </c>
      <c r="C8" s="1076" t="s">
        <v>28</v>
      </c>
      <c r="D8" s="1076"/>
      <c r="E8" s="1076"/>
      <c r="F8" s="1077" t="s">
        <v>115</v>
      </c>
      <c r="G8" s="1077"/>
      <c r="H8" s="1078" t="s">
        <v>27</v>
      </c>
      <c r="I8" s="1078"/>
      <c r="J8" s="1078"/>
      <c r="K8" s="1078"/>
      <c r="L8" s="1078"/>
      <c r="M8" s="1078"/>
      <c r="N8" s="1078"/>
    </row>
    <row r="9" spans="1:16" ht="15.75" thickBot="1">
      <c r="A9" s="310"/>
      <c r="B9" s="1079" t="s">
        <v>4</v>
      </c>
      <c r="C9" s="1079"/>
      <c r="D9" s="1080" t="s">
        <v>116</v>
      </c>
      <c r="E9" s="1080"/>
      <c r="F9" s="1080"/>
      <c r="G9" s="1080"/>
      <c r="H9" s="1080"/>
      <c r="I9" s="1080"/>
      <c r="J9" s="1080"/>
      <c r="K9" s="1080"/>
      <c r="L9" s="1080"/>
      <c r="M9" s="1080"/>
      <c r="N9" s="1080"/>
    </row>
    <row r="10" spans="1:16" ht="16.5" customHeight="1" thickTop="1" thickBot="1">
      <c r="A10" s="310"/>
      <c r="B10" s="1079"/>
      <c r="C10" s="1079"/>
      <c r="D10" s="494" t="s">
        <v>117</v>
      </c>
      <c r="E10" s="495">
        <v>2024</v>
      </c>
      <c r="F10" s="1081" t="s">
        <v>6</v>
      </c>
      <c r="G10" s="1081"/>
      <c r="H10" s="1081" t="s">
        <v>6</v>
      </c>
      <c r="I10" s="1081"/>
      <c r="J10" s="496" t="s">
        <v>6</v>
      </c>
      <c r="K10" s="1081" t="s">
        <v>6</v>
      </c>
      <c r="L10" s="1081"/>
      <c r="M10" s="1082" t="s">
        <v>118</v>
      </c>
      <c r="N10" s="1083" t="s">
        <v>8</v>
      </c>
    </row>
    <row r="11" spans="1:16" ht="61.5" customHeight="1" thickTop="1" thickBot="1">
      <c r="A11" s="310"/>
      <c r="B11" s="1079"/>
      <c r="C11" s="1079"/>
      <c r="D11" s="495" t="s">
        <v>119</v>
      </c>
      <c r="E11" s="497" t="s">
        <v>10</v>
      </c>
      <c r="F11" s="498" t="s">
        <v>182</v>
      </c>
      <c r="G11" s="499" t="s">
        <v>10</v>
      </c>
      <c r="H11" s="498" t="s">
        <v>183</v>
      </c>
      <c r="I11" s="499" t="s">
        <v>10</v>
      </c>
      <c r="J11" s="500" t="s">
        <v>120</v>
      </c>
      <c r="K11" s="498" t="s">
        <v>12</v>
      </c>
      <c r="L11" s="499" t="s">
        <v>10</v>
      </c>
      <c r="M11" s="1082"/>
      <c r="N11" s="1083"/>
    </row>
    <row r="12" spans="1:16" ht="16.5" thickTop="1" thickBot="1">
      <c r="A12" s="310"/>
      <c r="B12" s="1079"/>
      <c r="C12" s="1079"/>
      <c r="D12" s="501" t="s">
        <v>13</v>
      </c>
      <c r="E12" s="501" t="s">
        <v>14</v>
      </c>
      <c r="F12" s="501" t="s">
        <v>15</v>
      </c>
      <c r="G12" s="501" t="s">
        <v>16</v>
      </c>
      <c r="H12" s="501" t="s">
        <v>17</v>
      </c>
      <c r="I12" s="501" t="s">
        <v>18</v>
      </c>
      <c r="J12" s="501" t="s">
        <v>19</v>
      </c>
      <c r="K12" s="501" t="s">
        <v>20</v>
      </c>
      <c r="L12" s="501" t="s">
        <v>21</v>
      </c>
      <c r="M12" s="501" t="s">
        <v>22</v>
      </c>
      <c r="N12" s="502" t="s">
        <v>23</v>
      </c>
    </row>
    <row r="13" spans="1:16" ht="15.75" thickTop="1">
      <c r="A13" s="310"/>
      <c r="B13" s="1084" t="s">
        <v>32</v>
      </c>
      <c r="C13" s="1084"/>
      <c r="D13" s="273"/>
      <c r="E13" s="309"/>
      <c r="F13" s="273"/>
      <c r="G13" s="309"/>
      <c r="H13" s="273"/>
      <c r="I13" s="309"/>
      <c r="J13" s="503"/>
      <c r="K13" s="273"/>
      <c r="L13" s="309"/>
      <c r="M13" s="273"/>
      <c r="N13" s="504"/>
    </row>
    <row r="14" spans="1:16">
      <c r="A14" s="310"/>
      <c r="B14" s="505" t="s">
        <v>25</v>
      </c>
      <c r="C14" s="506" t="s">
        <v>26</v>
      </c>
      <c r="D14" s="311"/>
      <c r="E14" s="309"/>
      <c r="F14" s="273"/>
      <c r="G14" s="309"/>
      <c r="H14" s="273"/>
      <c r="I14" s="309"/>
      <c r="J14" s="507"/>
      <c r="K14" s="273"/>
      <c r="L14" s="309"/>
      <c r="M14" s="273"/>
      <c r="N14" s="504"/>
    </row>
    <row r="15" spans="1:16">
      <c r="A15" s="310"/>
      <c r="B15" s="312" t="s">
        <v>34</v>
      </c>
      <c r="C15" s="313" t="s">
        <v>35</v>
      </c>
      <c r="D15" s="311">
        <v>656852000</v>
      </c>
      <c r="E15" s="314">
        <f>D15/D22*100</f>
        <v>35.890668891624557</v>
      </c>
      <c r="F15" s="311">
        <v>584980000</v>
      </c>
      <c r="G15" s="314">
        <f>F15/F22*100</f>
        <v>41.686025796337205</v>
      </c>
      <c r="H15" s="311">
        <v>665980000</v>
      </c>
      <c r="I15" s="314">
        <f>H15/H22*100</f>
        <v>41.721172771554329</v>
      </c>
      <c r="J15" s="311">
        <f>H15-F15</f>
        <v>81000000</v>
      </c>
      <c r="K15" s="311">
        <v>665077065</v>
      </c>
      <c r="L15" s="314">
        <f>K15/K22*100</f>
        <v>42.116164014509089</v>
      </c>
      <c r="M15" s="314">
        <f>H15-K15</f>
        <v>902935</v>
      </c>
      <c r="N15" s="508">
        <f>K15/H15*100</f>
        <v>99.864420102705793</v>
      </c>
      <c r="O15" s="319"/>
      <c r="P15" s="319"/>
    </row>
    <row r="16" spans="1:16">
      <c r="A16" s="310"/>
      <c r="B16" s="312" t="s">
        <v>36</v>
      </c>
      <c r="C16" s="313" t="s">
        <v>37</v>
      </c>
      <c r="D16" s="311">
        <v>96775000</v>
      </c>
      <c r="E16" s="314">
        <f>D16/D22*100</f>
        <v>5.2878266062780748</v>
      </c>
      <c r="F16" s="311">
        <v>110000000</v>
      </c>
      <c r="G16" s="314">
        <f>F16/F22*100</f>
        <v>7.8386660015677334</v>
      </c>
      <c r="H16" s="311">
        <v>110000000</v>
      </c>
      <c r="I16" s="314">
        <f>H16/H22*100</f>
        <v>6.8910913313777824</v>
      </c>
      <c r="J16" s="311">
        <f t="shared" ref="J16:J21" si="0">H16-F16</f>
        <v>0</v>
      </c>
      <c r="K16" s="311">
        <v>107335094</v>
      </c>
      <c r="L16" s="314">
        <f>K16/K22*100</f>
        <v>6.7970204677209116</v>
      </c>
      <c r="M16" s="314">
        <f>H16-K16</f>
        <v>2664906</v>
      </c>
      <c r="N16" s="508">
        <f t="shared" ref="N16:N21" si="1">K16/H16*100</f>
        <v>97.577358181818184</v>
      </c>
      <c r="O16" s="319"/>
      <c r="P16" s="319"/>
    </row>
    <row r="17" spans="1:16">
      <c r="A17" s="310"/>
      <c r="B17" s="312" t="s">
        <v>38</v>
      </c>
      <c r="C17" s="313" t="s">
        <v>39</v>
      </c>
      <c r="D17" s="311">
        <v>560820000</v>
      </c>
      <c r="E17" s="314">
        <f>D17/D22*100</f>
        <v>30.643440117105346</v>
      </c>
      <c r="F17" s="311">
        <v>399896000</v>
      </c>
      <c r="G17" s="314">
        <f>F17/F22*100</f>
        <v>28.496828903299367</v>
      </c>
      <c r="H17" s="311">
        <v>534896000</v>
      </c>
      <c r="I17" s="314">
        <f>H17/H22*100</f>
        <v>33.509247170805914</v>
      </c>
      <c r="J17" s="311">
        <f t="shared" si="0"/>
        <v>135000000</v>
      </c>
      <c r="K17" s="311">
        <v>521568122</v>
      </c>
      <c r="L17" s="314">
        <f>K17/K22*100</f>
        <v>33.028425917666382</v>
      </c>
      <c r="M17" s="314">
        <f t="shared" ref="M17:M27" si="2">H17-K17</f>
        <v>13327878</v>
      </c>
      <c r="N17" s="508">
        <f t="shared" si="1"/>
        <v>97.508323487182551</v>
      </c>
      <c r="O17" s="319"/>
      <c r="P17" s="319"/>
    </row>
    <row r="18" spans="1:16">
      <c r="A18" s="310"/>
      <c r="B18" s="312" t="s">
        <v>40</v>
      </c>
      <c r="C18" s="313" t="s">
        <v>41</v>
      </c>
      <c r="D18" s="311">
        <v>0</v>
      </c>
      <c r="E18" s="314">
        <f>D18/D22*100</f>
        <v>0</v>
      </c>
      <c r="F18" s="311">
        <v>0</v>
      </c>
      <c r="G18" s="314">
        <f>F18/F22*100</f>
        <v>0</v>
      </c>
      <c r="H18" s="311">
        <v>0</v>
      </c>
      <c r="I18" s="314">
        <f>H18/H22*100</f>
        <v>0</v>
      </c>
      <c r="J18" s="311">
        <f t="shared" si="0"/>
        <v>0</v>
      </c>
      <c r="K18" s="311">
        <v>0</v>
      </c>
      <c r="L18" s="314">
        <f>K18/K22*100</f>
        <v>0</v>
      </c>
      <c r="M18" s="314">
        <f t="shared" si="2"/>
        <v>0</v>
      </c>
      <c r="N18" s="508">
        <v>0</v>
      </c>
      <c r="O18" s="319"/>
      <c r="P18" s="319"/>
    </row>
    <row r="19" spans="1:16">
      <c r="A19" s="310"/>
      <c r="B19" s="312" t="s">
        <v>42</v>
      </c>
      <c r="C19" s="313" t="s">
        <v>43</v>
      </c>
      <c r="D19" s="311">
        <v>0</v>
      </c>
      <c r="E19" s="314">
        <f>D19/D22*100</f>
        <v>0</v>
      </c>
      <c r="F19" s="311">
        <v>0</v>
      </c>
      <c r="G19" s="314">
        <f>F19/F22*100</f>
        <v>0</v>
      </c>
      <c r="H19" s="311">
        <v>0</v>
      </c>
      <c r="I19" s="314">
        <f>H19/H22*100</f>
        <v>0</v>
      </c>
      <c r="J19" s="311">
        <f t="shared" si="0"/>
        <v>0</v>
      </c>
      <c r="K19" s="311">
        <v>0</v>
      </c>
      <c r="L19" s="314">
        <f>K19/K22*100</f>
        <v>0</v>
      </c>
      <c r="M19" s="314">
        <f t="shared" si="2"/>
        <v>0</v>
      </c>
      <c r="N19" s="508">
        <v>0</v>
      </c>
      <c r="O19" s="319"/>
      <c r="P19" s="319"/>
    </row>
    <row r="20" spans="1:16">
      <c r="A20" s="310"/>
      <c r="B20" s="312" t="s">
        <v>44</v>
      </c>
      <c r="C20" s="313" t="s">
        <v>45</v>
      </c>
      <c r="D20" s="311">
        <v>465015000</v>
      </c>
      <c r="E20" s="314">
        <f>D20/D22*100</f>
        <v>25.408614717834144</v>
      </c>
      <c r="F20" s="311">
        <v>275424000</v>
      </c>
      <c r="G20" s="314">
        <f>F20/F22*100</f>
        <v>19.626879498325376</v>
      </c>
      <c r="H20" s="311">
        <v>240424000</v>
      </c>
      <c r="I20" s="314">
        <f>H20/H22*100</f>
        <v>15.06167038413793</v>
      </c>
      <c r="J20" s="311">
        <f t="shared" si="0"/>
        <v>-35000000</v>
      </c>
      <c r="K20" s="311">
        <v>240411100</v>
      </c>
      <c r="L20" s="314">
        <f>K20/K22*100</f>
        <v>15.224090336822165</v>
      </c>
      <c r="M20" s="314">
        <f t="shared" si="2"/>
        <v>12900</v>
      </c>
      <c r="N20" s="508">
        <f t="shared" si="1"/>
        <v>99.99463447908694</v>
      </c>
      <c r="O20" s="319"/>
      <c r="P20" s="319"/>
    </row>
    <row r="21" spans="1:16">
      <c r="A21" s="310"/>
      <c r="B21" s="312" t="s">
        <v>46</v>
      </c>
      <c r="C21" s="313" t="s">
        <v>47</v>
      </c>
      <c r="D21" s="311">
        <v>50685000</v>
      </c>
      <c r="E21" s="314">
        <f>D21/D22*100</f>
        <v>2.7694496671578839</v>
      </c>
      <c r="F21" s="311">
        <v>33000000</v>
      </c>
      <c r="G21" s="314">
        <f>F21/F22*100</f>
        <v>2.35159980047032</v>
      </c>
      <c r="H21" s="311">
        <v>44963853</v>
      </c>
      <c r="I21" s="314">
        <f>H21/H22*100</f>
        <v>2.8168183421240447</v>
      </c>
      <c r="J21" s="311">
        <f t="shared" si="0"/>
        <v>11963853</v>
      </c>
      <c r="K21" s="311">
        <v>44757814</v>
      </c>
      <c r="L21" s="314">
        <f>K21/K22*100</f>
        <v>2.8342992632814532</v>
      </c>
      <c r="M21" s="314">
        <f t="shared" si="2"/>
        <v>206039</v>
      </c>
      <c r="N21" s="508">
        <f t="shared" si="1"/>
        <v>99.541767472640743</v>
      </c>
      <c r="O21" s="319"/>
      <c r="P21" s="319"/>
    </row>
    <row r="22" spans="1:16">
      <c r="A22" s="310"/>
      <c r="B22" s="509"/>
      <c r="C22" s="510" t="s">
        <v>121</v>
      </c>
      <c r="D22" s="315">
        <f>SUM(D15:D21)</f>
        <v>1830147000</v>
      </c>
      <c r="E22" s="511">
        <f>D22/D30*100</f>
        <v>94.317346710547341</v>
      </c>
      <c r="F22" s="315">
        <f>SUM(F15:F21)</f>
        <v>1403300000</v>
      </c>
      <c r="G22" s="511">
        <f>F22/F30*100</f>
        <v>92.122365916103206</v>
      </c>
      <c r="H22" s="315">
        <f>SUM(H15:H21)</f>
        <v>1596263853</v>
      </c>
      <c r="I22" s="511">
        <f>H22/H30*100</f>
        <v>95.360088676149545</v>
      </c>
      <c r="J22" s="315">
        <f>SUM(J15:J21)</f>
        <v>192963853</v>
      </c>
      <c r="K22" s="315">
        <f>SUM(K15:K21)</f>
        <v>1579149195</v>
      </c>
      <c r="L22" s="511">
        <f>K22/K30*100</f>
        <v>95.313039564221768</v>
      </c>
      <c r="M22" s="315">
        <f>SUM(M15:M21)</f>
        <v>17114658</v>
      </c>
      <c r="N22" s="512">
        <f>K22/H22*100</f>
        <v>98.927830260151865</v>
      </c>
      <c r="O22" s="319"/>
      <c r="P22" s="319"/>
    </row>
    <row r="23" spans="1:16">
      <c r="A23" s="310"/>
      <c r="B23" s="312" t="s">
        <v>49</v>
      </c>
      <c r="C23" s="313" t="s">
        <v>50</v>
      </c>
      <c r="D23" s="311">
        <v>0</v>
      </c>
      <c r="E23" s="314">
        <f>D23/D25*100</f>
        <v>0</v>
      </c>
      <c r="F23" s="311">
        <v>0</v>
      </c>
      <c r="G23" s="314">
        <f>F23/F25*100</f>
        <v>0</v>
      </c>
      <c r="H23" s="311"/>
      <c r="I23" s="314">
        <f>H23/H25*100</f>
        <v>0</v>
      </c>
      <c r="J23" s="311"/>
      <c r="K23" s="311">
        <v>0</v>
      </c>
      <c r="L23" s="314">
        <f>K23/K25*100</f>
        <v>0</v>
      </c>
      <c r="M23" s="311">
        <f t="shared" si="2"/>
        <v>0</v>
      </c>
      <c r="N23" s="314">
        <f>M23/M30*100</f>
        <v>0</v>
      </c>
      <c r="O23" s="319"/>
      <c r="P23" s="319"/>
    </row>
    <row r="24" spans="1:16">
      <c r="A24" s="310"/>
      <c r="B24" s="312" t="s">
        <v>51</v>
      </c>
      <c r="C24" s="313" t="s">
        <v>52</v>
      </c>
      <c r="D24" s="311">
        <v>110267000</v>
      </c>
      <c r="E24" s="314">
        <f>D24/D25*100</f>
        <v>100</v>
      </c>
      <c r="F24" s="311">
        <v>120000000</v>
      </c>
      <c r="G24" s="314">
        <f>F24/F25*100</f>
        <v>100</v>
      </c>
      <c r="H24" s="311">
        <v>77669000</v>
      </c>
      <c r="I24" s="314">
        <f>H24/H25*100</f>
        <v>100</v>
      </c>
      <c r="J24" s="311">
        <f t="shared" ref="J24" si="3">H24-F24</f>
        <v>-42331000</v>
      </c>
      <c r="K24" s="311">
        <v>77653696</v>
      </c>
      <c r="L24" s="314">
        <f>K24/K25*100</f>
        <v>100</v>
      </c>
      <c r="M24" s="311">
        <f t="shared" si="2"/>
        <v>15304</v>
      </c>
      <c r="N24" s="314">
        <f>M24/M30*100</f>
        <v>8.9340536774103765E-2</v>
      </c>
      <c r="O24" s="319"/>
      <c r="P24" s="319"/>
    </row>
    <row r="25" spans="1:16">
      <c r="A25" s="310"/>
      <c r="B25" s="509"/>
      <c r="C25" s="510" t="s">
        <v>122</v>
      </c>
      <c r="D25" s="315">
        <f>D23+D24</f>
        <v>110267000</v>
      </c>
      <c r="E25" s="315">
        <f>D25/D30*100</f>
        <v>5.6826532894526629</v>
      </c>
      <c r="F25" s="315">
        <f t="shared" ref="F25:K25" si="4">F23+F24</f>
        <v>120000000</v>
      </c>
      <c r="G25" s="315">
        <f>F25/F30*100</f>
        <v>7.8776340838968038</v>
      </c>
      <c r="H25" s="315">
        <f>H23+H24</f>
        <v>77669000</v>
      </c>
      <c r="I25" s="315">
        <f>H25/H30*100</f>
        <v>4.6399113238504555</v>
      </c>
      <c r="J25" s="315">
        <f t="shared" si="4"/>
        <v>-42331000</v>
      </c>
      <c r="K25" s="315">
        <f t="shared" si="4"/>
        <v>77653696</v>
      </c>
      <c r="L25" s="315">
        <f>K25/K30*100</f>
        <v>4.6869604357782357</v>
      </c>
      <c r="M25" s="315">
        <f t="shared" si="2"/>
        <v>15304</v>
      </c>
      <c r="N25" s="512">
        <f>K25/H25*100</f>
        <v>99.9802958709395</v>
      </c>
      <c r="O25" s="319"/>
      <c r="P25" s="319"/>
    </row>
    <row r="26" spans="1:16">
      <c r="A26" s="310"/>
      <c r="B26" s="312" t="s">
        <v>49</v>
      </c>
      <c r="C26" s="313" t="s">
        <v>50</v>
      </c>
      <c r="D26" s="311">
        <v>0</v>
      </c>
      <c r="E26" s="311">
        <f t="shared" ref="E26:G27" si="5">D26/D29*100</f>
        <v>0</v>
      </c>
      <c r="F26" s="311">
        <v>0</v>
      </c>
      <c r="G26" s="311">
        <f t="shared" si="5"/>
        <v>0</v>
      </c>
      <c r="H26" s="311">
        <v>0</v>
      </c>
      <c r="I26" s="311">
        <f t="shared" ref="I26:I27" si="6">H26/H29*100</f>
        <v>0</v>
      </c>
      <c r="J26" s="311">
        <v>0</v>
      </c>
      <c r="K26" s="311">
        <v>0</v>
      </c>
      <c r="L26" s="311">
        <f t="shared" ref="L26:L27" si="7">K26/K29*100</f>
        <v>0</v>
      </c>
      <c r="M26" s="311">
        <f t="shared" si="2"/>
        <v>0</v>
      </c>
      <c r="N26" s="318">
        <v>0</v>
      </c>
      <c r="O26" s="319"/>
      <c r="P26" s="319"/>
    </row>
    <row r="27" spans="1:16">
      <c r="A27" s="310"/>
      <c r="B27" s="312" t="s">
        <v>51</v>
      </c>
      <c r="C27" s="313" t="s">
        <v>52</v>
      </c>
      <c r="D27" s="311">
        <v>0</v>
      </c>
      <c r="E27" s="311">
        <f t="shared" si="5"/>
        <v>0</v>
      </c>
      <c r="F27" s="311">
        <v>0</v>
      </c>
      <c r="G27" s="311">
        <f t="shared" si="5"/>
        <v>0</v>
      </c>
      <c r="H27" s="311">
        <v>0</v>
      </c>
      <c r="I27" s="311">
        <f t="shared" si="6"/>
        <v>0</v>
      </c>
      <c r="J27" s="311">
        <f t="shared" ref="J27" si="8">H27-F27</f>
        <v>0</v>
      </c>
      <c r="K27" s="311"/>
      <c r="L27" s="311">
        <f t="shared" si="7"/>
        <v>0</v>
      </c>
      <c r="M27" s="311">
        <f t="shared" si="2"/>
        <v>0</v>
      </c>
      <c r="N27" s="318">
        <v>0</v>
      </c>
      <c r="O27" s="319"/>
      <c r="P27" s="319"/>
    </row>
    <row r="28" spans="1:16">
      <c r="A28" s="310"/>
      <c r="B28" s="513"/>
      <c r="C28" s="514" t="s">
        <v>123</v>
      </c>
      <c r="D28" s="316">
        <v>0</v>
      </c>
      <c r="E28" s="316"/>
      <c r="F28" s="316">
        <v>0</v>
      </c>
      <c r="G28" s="316"/>
      <c r="H28" s="316">
        <f>SUM(H26:H27)</f>
        <v>0</v>
      </c>
      <c r="I28" s="316"/>
      <c r="J28" s="316">
        <f>SUM(J26:J27)</f>
        <v>0</v>
      </c>
      <c r="K28" s="316">
        <f>SUM(K26:K27)</f>
        <v>0</v>
      </c>
      <c r="L28" s="316"/>
      <c r="M28" s="316">
        <f>SUM(M26:M27)</f>
        <v>0</v>
      </c>
      <c r="N28" s="515">
        <v>0</v>
      </c>
      <c r="O28" s="319"/>
      <c r="P28" s="319"/>
    </row>
    <row r="29" spans="1:16">
      <c r="A29" s="310"/>
      <c r="B29" s="513"/>
      <c r="C29" s="514" t="s">
        <v>124</v>
      </c>
      <c r="D29" s="316">
        <f>D25</f>
        <v>110267000</v>
      </c>
      <c r="E29" s="316"/>
      <c r="F29" s="316">
        <f t="shared" ref="F29:N29" si="9">F25</f>
        <v>120000000</v>
      </c>
      <c r="G29" s="316"/>
      <c r="H29" s="316">
        <f t="shared" si="9"/>
        <v>77669000</v>
      </c>
      <c r="I29" s="316"/>
      <c r="J29" s="311">
        <f t="shared" ref="J29:J30" si="10">H29-F29</f>
        <v>-42331000</v>
      </c>
      <c r="K29" s="316">
        <v>77653696</v>
      </c>
      <c r="L29" s="316"/>
      <c r="M29" s="316">
        <f t="shared" si="9"/>
        <v>15304</v>
      </c>
      <c r="N29" s="316">
        <f t="shared" si="9"/>
        <v>99.9802958709395</v>
      </c>
      <c r="O29" s="319"/>
      <c r="P29" s="319"/>
    </row>
    <row r="30" spans="1:16">
      <c r="A30" s="310"/>
      <c r="B30" s="509"/>
      <c r="C30" s="510" t="s">
        <v>125</v>
      </c>
      <c r="D30" s="315">
        <f>D22+D25</f>
        <v>1940414000</v>
      </c>
      <c r="E30" s="315">
        <f>E22+E25</f>
        <v>100</v>
      </c>
      <c r="F30" s="315">
        <f>F22+F25</f>
        <v>1523300000</v>
      </c>
      <c r="G30" s="315">
        <f>G22+G25</f>
        <v>100.00000000000001</v>
      </c>
      <c r="H30" s="315">
        <f t="shared" ref="H30:M30" si="11">H22+H29</f>
        <v>1673932853</v>
      </c>
      <c r="I30" s="315">
        <f>I22+I25</f>
        <v>100</v>
      </c>
      <c r="J30" s="315">
        <f t="shared" si="10"/>
        <v>150632853</v>
      </c>
      <c r="K30" s="315">
        <f t="shared" si="11"/>
        <v>1656802891</v>
      </c>
      <c r="L30" s="315">
        <f>L22+L25</f>
        <v>100</v>
      </c>
      <c r="M30" s="315">
        <f t="shared" si="11"/>
        <v>17129962</v>
      </c>
      <c r="N30" s="512">
        <f>K30/H30*100</f>
        <v>98.976663731206429</v>
      </c>
      <c r="O30" s="319"/>
      <c r="P30" s="319"/>
    </row>
    <row r="31" spans="1:16">
      <c r="A31" s="310"/>
      <c r="B31" s="513"/>
      <c r="C31" s="514" t="s">
        <v>126</v>
      </c>
      <c r="D31" s="316">
        <v>0</v>
      </c>
      <c r="E31" s="316"/>
      <c r="F31" s="316"/>
      <c r="G31" s="316"/>
      <c r="H31" s="316"/>
      <c r="I31" s="316"/>
      <c r="J31" s="316"/>
      <c r="K31" s="316">
        <v>0</v>
      </c>
      <c r="L31" s="316"/>
      <c r="M31" s="316"/>
      <c r="N31" s="515"/>
    </row>
    <row r="32" spans="1:16">
      <c r="A32" s="310"/>
      <c r="B32" s="513"/>
      <c r="C32" s="514" t="s">
        <v>127</v>
      </c>
      <c r="D32" s="316">
        <v>0</v>
      </c>
      <c r="E32" s="316"/>
      <c r="F32" s="316"/>
      <c r="G32" s="316"/>
      <c r="H32" s="316"/>
      <c r="I32" s="316"/>
      <c r="J32" s="316"/>
      <c r="K32" s="316">
        <v>0</v>
      </c>
      <c r="L32" s="316"/>
      <c r="M32" s="316"/>
      <c r="N32" s="515"/>
    </row>
    <row r="33" spans="1:19" ht="15.75" thickBot="1">
      <c r="A33" s="310"/>
      <c r="B33" s="513"/>
      <c r="C33" s="514" t="s">
        <v>128</v>
      </c>
      <c r="D33" s="316">
        <v>0</v>
      </c>
      <c r="E33" s="316"/>
      <c r="F33" s="316"/>
      <c r="G33" s="316"/>
      <c r="H33" s="316"/>
      <c r="I33" s="316"/>
      <c r="J33" s="316"/>
      <c r="K33" s="316">
        <v>0</v>
      </c>
      <c r="L33" s="316"/>
      <c r="M33" s="316"/>
      <c r="N33" s="515"/>
    </row>
    <row r="34" spans="1:19" ht="15.75" thickTop="1">
      <c r="A34" s="310"/>
      <c r="B34" s="1085" t="s">
        <v>129</v>
      </c>
      <c r="C34" s="1085"/>
      <c r="D34" s="307"/>
      <c r="E34" s="308"/>
      <c r="F34" s="307"/>
      <c r="G34" s="308"/>
      <c r="H34" s="307"/>
      <c r="I34" s="308"/>
      <c r="J34" s="516"/>
      <c r="K34" s="307"/>
      <c r="L34" s="308"/>
      <c r="M34" s="307"/>
      <c r="N34" s="517"/>
    </row>
    <row r="35" spans="1:19">
      <c r="A35" s="310"/>
      <c r="B35" s="441" t="s">
        <v>33</v>
      </c>
      <c r="C35" s="506" t="s">
        <v>26</v>
      </c>
      <c r="D35" s="273"/>
      <c r="E35" s="309"/>
      <c r="F35" s="273"/>
      <c r="G35" s="309"/>
      <c r="H35" s="273"/>
      <c r="I35" s="309"/>
      <c r="J35" s="507"/>
      <c r="K35" s="273"/>
      <c r="L35" s="309"/>
      <c r="M35" s="273"/>
      <c r="N35" s="504"/>
    </row>
    <row r="36" spans="1:19" ht="15" customHeight="1">
      <c r="A36" s="310"/>
      <c r="B36" s="312"/>
      <c r="C36" s="518" t="s">
        <v>130</v>
      </c>
      <c r="D36" s="316">
        <f>D38</f>
        <v>1830147000</v>
      </c>
      <c r="E36" s="316">
        <f>E38</f>
        <v>94.317346710547341</v>
      </c>
      <c r="F36" s="316">
        <f t="shared" ref="F36:M36" si="12">F38</f>
        <v>1403300000</v>
      </c>
      <c r="G36" s="316">
        <f t="shared" si="12"/>
        <v>92.122365916103206</v>
      </c>
      <c r="H36" s="316">
        <f t="shared" si="12"/>
        <v>1596263853</v>
      </c>
      <c r="I36" s="316">
        <f t="shared" si="12"/>
        <v>95.360088676149545</v>
      </c>
      <c r="J36" s="316">
        <f t="shared" si="12"/>
        <v>192963853</v>
      </c>
      <c r="K36" s="316">
        <f t="shared" si="12"/>
        <v>1579149195</v>
      </c>
      <c r="L36" s="316">
        <f t="shared" si="12"/>
        <v>95.313039564221768</v>
      </c>
      <c r="M36" s="316">
        <f t="shared" si="12"/>
        <v>17114658</v>
      </c>
      <c r="N36" s="316">
        <f>K36/H36*100</f>
        <v>98.927830260151865</v>
      </c>
    </row>
    <row r="37" spans="1:19" ht="15" customHeight="1">
      <c r="A37" s="310"/>
      <c r="B37" s="312" t="s">
        <v>131</v>
      </c>
      <c r="C37" s="317" t="s">
        <v>132</v>
      </c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8"/>
    </row>
    <row r="38" spans="1:19" ht="15" customHeight="1">
      <c r="A38" s="310"/>
      <c r="B38" s="312" t="s">
        <v>199</v>
      </c>
      <c r="C38" s="317" t="s">
        <v>200</v>
      </c>
      <c r="D38" s="311">
        <f>D22</f>
        <v>1830147000</v>
      </c>
      <c r="E38" s="311">
        <f t="shared" ref="E38:L38" si="13">E22</f>
        <v>94.317346710547341</v>
      </c>
      <c r="F38" s="311">
        <f t="shared" si="13"/>
        <v>1403300000</v>
      </c>
      <c r="G38" s="311">
        <f t="shared" si="13"/>
        <v>92.122365916103206</v>
      </c>
      <c r="H38" s="311">
        <f t="shared" si="13"/>
        <v>1596263853</v>
      </c>
      <c r="I38" s="311">
        <f t="shared" si="13"/>
        <v>95.360088676149545</v>
      </c>
      <c r="J38" s="311">
        <f>J22</f>
        <v>192963853</v>
      </c>
      <c r="K38" s="311">
        <v>1579149195</v>
      </c>
      <c r="L38" s="311">
        <f t="shared" si="13"/>
        <v>95.313039564221768</v>
      </c>
      <c r="M38" s="311">
        <f>M22</f>
        <v>17114658</v>
      </c>
      <c r="N38" s="318">
        <f>K38/H38*100</f>
        <v>98.927830260151865</v>
      </c>
    </row>
    <row r="39" spans="1:19" s="201" customFormat="1" ht="15" customHeight="1">
      <c r="A39" s="519"/>
      <c r="B39" s="513"/>
      <c r="C39" s="518" t="s">
        <v>133</v>
      </c>
      <c r="D39" s="316">
        <v>110267000</v>
      </c>
      <c r="E39" s="316">
        <v>69</v>
      </c>
      <c r="F39" s="316">
        <f t="shared" ref="F39:M39" si="14">SUM(F41:F48)</f>
        <v>120000000</v>
      </c>
      <c r="G39" s="316">
        <f t="shared" si="14"/>
        <v>100</v>
      </c>
      <c r="H39" s="316">
        <f t="shared" si="14"/>
        <v>77669000</v>
      </c>
      <c r="I39" s="316">
        <f t="shared" si="14"/>
        <v>100</v>
      </c>
      <c r="J39" s="316">
        <f t="shared" si="14"/>
        <v>45481000</v>
      </c>
      <c r="K39" s="316">
        <f t="shared" si="14"/>
        <v>77653696</v>
      </c>
      <c r="L39" s="316">
        <f t="shared" si="14"/>
        <v>100</v>
      </c>
      <c r="M39" s="316">
        <f t="shared" si="14"/>
        <v>15304</v>
      </c>
      <c r="N39" s="520">
        <f>K39/H39*100</f>
        <v>99.9802958709395</v>
      </c>
      <c r="P39" s="521"/>
      <c r="Q39" s="521"/>
      <c r="R39" s="521"/>
      <c r="S39" s="521"/>
    </row>
    <row r="40" spans="1:19" ht="15" customHeight="1">
      <c r="A40" s="310"/>
      <c r="B40" s="312" t="s">
        <v>131</v>
      </c>
      <c r="C40" s="317" t="s">
        <v>132</v>
      </c>
      <c r="D40" s="311"/>
      <c r="E40" s="311"/>
      <c r="F40" s="311"/>
      <c r="G40" s="311"/>
      <c r="H40" s="311"/>
      <c r="I40" s="311"/>
      <c r="J40" s="311"/>
      <c r="K40" s="311"/>
      <c r="L40" s="311"/>
      <c r="M40" s="311"/>
      <c r="N40" s="318"/>
    </row>
    <row r="41" spans="1:19" ht="21.75" customHeight="1">
      <c r="A41" s="310"/>
      <c r="B41" s="317" t="s">
        <v>201</v>
      </c>
      <c r="C41" s="317" t="s">
        <v>202</v>
      </c>
      <c r="D41" s="311">
        <f>D39</f>
        <v>110267000</v>
      </c>
      <c r="E41" s="314">
        <f>D41/D49*100</f>
        <v>100</v>
      </c>
      <c r="F41" s="311">
        <v>32188000</v>
      </c>
      <c r="G41" s="314">
        <f>F41/F49*100</f>
        <v>26.823333333333331</v>
      </c>
      <c r="H41" s="311">
        <v>45188000</v>
      </c>
      <c r="I41" s="314">
        <f>H41/H49*100</f>
        <v>58.18022634513126</v>
      </c>
      <c r="J41" s="311">
        <f t="shared" ref="J41:J46" si="15">H41-F41</f>
        <v>13000000</v>
      </c>
      <c r="K41" s="311">
        <v>45188000</v>
      </c>
      <c r="L41" s="314">
        <f>K41/K49*100</f>
        <v>58.191692511326188</v>
      </c>
      <c r="M41" s="311">
        <f t="shared" ref="M41:M46" si="16">H41-K41</f>
        <v>0</v>
      </c>
      <c r="N41" s="520">
        <f t="shared" ref="N41:N48" si="17">K41/H41*100</f>
        <v>100</v>
      </c>
      <c r="O41" s="333"/>
    </row>
    <row r="42" spans="1:19" ht="21.75" customHeight="1">
      <c r="A42" s="310"/>
      <c r="B42" s="317" t="s">
        <v>203</v>
      </c>
      <c r="C42" s="317" t="s">
        <v>204</v>
      </c>
      <c r="D42" s="311"/>
      <c r="E42" s="314">
        <v>0</v>
      </c>
      <c r="F42" s="311"/>
      <c r="G42" s="314">
        <f>F42/F49*100</f>
        <v>0</v>
      </c>
      <c r="H42" s="311">
        <v>357250</v>
      </c>
      <c r="I42" s="314">
        <f>H42/H49*100</f>
        <v>0.45996472208989436</v>
      </c>
      <c r="J42" s="311">
        <f t="shared" si="15"/>
        <v>357250</v>
      </c>
      <c r="K42" s="311">
        <v>357244</v>
      </c>
      <c r="L42" s="314">
        <f>K42/K49*100</f>
        <v>0.46004764538187592</v>
      </c>
      <c r="M42" s="311">
        <f t="shared" si="16"/>
        <v>6</v>
      </c>
      <c r="N42" s="520">
        <f t="shared" si="17"/>
        <v>99.998320503848845</v>
      </c>
      <c r="O42" s="333"/>
    </row>
    <row r="43" spans="1:19" ht="21.75" customHeight="1">
      <c r="A43" s="310"/>
      <c r="B43" s="317" t="s">
        <v>205</v>
      </c>
      <c r="C43" s="317" t="s">
        <v>206</v>
      </c>
      <c r="D43" s="311"/>
      <c r="E43" s="314">
        <v>0</v>
      </c>
      <c r="F43" s="311"/>
      <c r="G43" s="314">
        <f>F43/F49*100</f>
        <v>0</v>
      </c>
      <c r="H43" s="311">
        <v>140400</v>
      </c>
      <c r="I43" s="314">
        <f>H43/H49*100</f>
        <v>0.18076710141755398</v>
      </c>
      <c r="J43" s="311">
        <f t="shared" si="15"/>
        <v>140400</v>
      </c>
      <c r="K43" s="311">
        <v>140400</v>
      </c>
      <c r="L43" s="314">
        <f>K43/K49*100</f>
        <v>0.18080272702023095</v>
      </c>
      <c r="M43" s="311">
        <f t="shared" si="16"/>
        <v>0</v>
      </c>
      <c r="N43" s="520">
        <f t="shared" si="17"/>
        <v>100</v>
      </c>
      <c r="O43" s="333"/>
    </row>
    <row r="44" spans="1:19" ht="21.75" customHeight="1">
      <c r="A44" s="310"/>
      <c r="B44" s="317" t="s">
        <v>207</v>
      </c>
      <c r="C44" s="317" t="s">
        <v>208</v>
      </c>
      <c r="D44" s="311"/>
      <c r="E44" s="314">
        <v>0</v>
      </c>
      <c r="F44" s="311"/>
      <c r="G44" s="314">
        <f>F44/F49*100</f>
        <v>0</v>
      </c>
      <c r="H44" s="311">
        <v>600000</v>
      </c>
      <c r="I44" s="314">
        <f>H44/H49*100</f>
        <v>0.77250898041689742</v>
      </c>
      <c r="J44" s="311">
        <f t="shared" si="15"/>
        <v>600000</v>
      </c>
      <c r="K44" s="311">
        <v>600000</v>
      </c>
      <c r="L44" s="314">
        <f>K44/K49*100</f>
        <v>0.77266122658218361</v>
      </c>
      <c r="M44" s="311">
        <f t="shared" si="16"/>
        <v>0</v>
      </c>
      <c r="N44" s="520">
        <f t="shared" si="17"/>
        <v>100</v>
      </c>
      <c r="O44" s="333"/>
    </row>
    <row r="45" spans="1:19" ht="21.75" customHeight="1">
      <c r="A45" s="310"/>
      <c r="B45" s="317" t="s">
        <v>209</v>
      </c>
      <c r="C45" s="317" t="s">
        <v>210</v>
      </c>
      <c r="D45" s="311"/>
      <c r="E45" s="314">
        <v>0</v>
      </c>
      <c r="F45" s="316"/>
      <c r="G45" s="314">
        <f>F45/F49*100</f>
        <v>0</v>
      </c>
      <c r="H45" s="311">
        <v>31382750</v>
      </c>
      <c r="I45" s="314">
        <f>H45/H49*100</f>
        <v>40.405760341963976</v>
      </c>
      <c r="J45" s="311">
        <f t="shared" si="15"/>
        <v>31382750</v>
      </c>
      <c r="K45" s="311">
        <v>31368052</v>
      </c>
      <c r="L45" s="314">
        <f>K45/K49*100</f>
        <v>40.394795889689526</v>
      </c>
      <c r="M45" s="311">
        <f t="shared" si="16"/>
        <v>14698</v>
      </c>
      <c r="N45" s="520">
        <f t="shared" si="17"/>
        <v>99.953165353578001</v>
      </c>
      <c r="O45" s="333"/>
    </row>
    <row r="46" spans="1:19" ht="24.75" customHeight="1">
      <c r="A46" s="310"/>
      <c r="B46" s="317" t="s">
        <v>211</v>
      </c>
      <c r="C46" s="317" t="s">
        <v>212</v>
      </c>
      <c r="D46" s="311"/>
      <c r="E46" s="314">
        <v>0</v>
      </c>
      <c r="F46" s="311"/>
      <c r="G46" s="314">
        <f>F46/F49*100</f>
        <v>0</v>
      </c>
      <c r="H46" s="311">
        <v>600</v>
      </c>
      <c r="I46" s="314">
        <f>H46/H49*100</f>
        <v>7.7250898041689739E-4</v>
      </c>
      <c r="J46" s="311">
        <f t="shared" si="15"/>
        <v>600</v>
      </c>
      <c r="K46" s="311">
        <v>0</v>
      </c>
      <c r="L46" s="314">
        <f>K46/K49*100</f>
        <v>0</v>
      </c>
      <c r="M46" s="311">
        <f t="shared" si="16"/>
        <v>600</v>
      </c>
      <c r="N46" s="520">
        <f t="shared" si="17"/>
        <v>0</v>
      </c>
      <c r="O46" s="333"/>
      <c r="P46" s="522"/>
    </row>
    <row r="47" spans="1:19" ht="25.5" customHeight="1">
      <c r="A47" s="310"/>
      <c r="B47" s="312" t="s">
        <v>213</v>
      </c>
      <c r="C47" s="317" t="s">
        <v>214</v>
      </c>
      <c r="D47" s="311"/>
      <c r="E47" s="314">
        <f>D47/D49*100</f>
        <v>0</v>
      </c>
      <c r="F47" s="311">
        <v>18000000</v>
      </c>
      <c r="G47" s="314">
        <f>F47/F49*100</f>
        <v>15</v>
      </c>
      <c r="H47" s="311"/>
      <c r="I47" s="314">
        <f>H47/H49*100</f>
        <v>0</v>
      </c>
      <c r="J47" s="311"/>
      <c r="K47" s="311"/>
      <c r="L47" s="314">
        <f>K47/K49*100</f>
        <v>0</v>
      </c>
      <c r="M47" s="311"/>
      <c r="N47" s="520" t="e">
        <f t="shared" si="17"/>
        <v>#DIV/0!</v>
      </c>
    </row>
    <row r="48" spans="1:19" ht="14.25" customHeight="1">
      <c r="A48" s="310"/>
      <c r="B48" s="312" t="s">
        <v>215</v>
      </c>
      <c r="C48" s="317" t="s">
        <v>216</v>
      </c>
      <c r="D48" s="311">
        <v>0</v>
      </c>
      <c r="E48" s="314">
        <f>D48/D49*100</f>
        <v>0</v>
      </c>
      <c r="F48" s="311">
        <v>69812000</v>
      </c>
      <c r="G48" s="314">
        <f>F48/F49*100</f>
        <v>58.176666666666662</v>
      </c>
      <c r="H48" s="311"/>
      <c r="I48" s="314">
        <f>H48/H49*100</f>
        <v>0</v>
      </c>
      <c r="J48" s="311"/>
      <c r="K48" s="311"/>
      <c r="L48" s="314">
        <f>K48/K49*100</f>
        <v>0</v>
      </c>
      <c r="M48" s="311"/>
      <c r="N48" s="520" t="e">
        <f t="shared" si="17"/>
        <v>#DIV/0!</v>
      </c>
    </row>
    <row r="49" spans="1:14" ht="22.5" customHeight="1">
      <c r="A49" s="310"/>
      <c r="B49" s="312"/>
      <c r="C49" s="518" t="s">
        <v>122</v>
      </c>
      <c r="D49" s="316">
        <f>D39</f>
        <v>110267000</v>
      </c>
      <c r="E49" s="316">
        <f t="shared" ref="E49:N49" si="18">E39</f>
        <v>69</v>
      </c>
      <c r="F49" s="316">
        <f t="shared" si="18"/>
        <v>120000000</v>
      </c>
      <c r="G49" s="316">
        <f t="shared" si="18"/>
        <v>100</v>
      </c>
      <c r="H49" s="316">
        <f t="shared" si="18"/>
        <v>77669000</v>
      </c>
      <c r="I49" s="316">
        <f t="shared" si="18"/>
        <v>100</v>
      </c>
      <c r="J49" s="316">
        <f>J39</f>
        <v>45481000</v>
      </c>
      <c r="K49" s="316">
        <f t="shared" si="18"/>
        <v>77653696</v>
      </c>
      <c r="L49" s="316">
        <f t="shared" si="18"/>
        <v>100</v>
      </c>
      <c r="M49" s="316">
        <f t="shared" si="18"/>
        <v>15304</v>
      </c>
      <c r="N49" s="316">
        <f t="shared" si="18"/>
        <v>99.9802958709395</v>
      </c>
    </row>
    <row r="50" spans="1:14" ht="29.25" customHeight="1">
      <c r="A50" s="310"/>
      <c r="B50" s="312" t="s">
        <v>131</v>
      </c>
      <c r="C50" s="317" t="s">
        <v>132</v>
      </c>
      <c r="D50" s="311"/>
      <c r="E50" s="311"/>
      <c r="F50" s="311"/>
      <c r="G50" s="311"/>
      <c r="H50" s="311"/>
      <c r="I50" s="311"/>
      <c r="J50" s="311"/>
      <c r="K50" s="311"/>
      <c r="L50" s="311"/>
      <c r="M50" s="311"/>
      <c r="N50" s="318"/>
    </row>
    <row r="51" spans="1:14" ht="25.5" customHeight="1">
      <c r="A51" s="310"/>
      <c r="B51" s="312"/>
      <c r="C51" s="317"/>
      <c r="D51" s="311">
        <v>0</v>
      </c>
      <c r="E51" s="311">
        <v>0</v>
      </c>
      <c r="F51" s="311">
        <v>0</v>
      </c>
      <c r="G51" s="311">
        <v>0</v>
      </c>
      <c r="H51" s="311">
        <v>0</v>
      </c>
      <c r="I51" s="311">
        <v>0</v>
      </c>
      <c r="J51" s="311">
        <v>0</v>
      </c>
      <c r="K51" s="311">
        <v>0</v>
      </c>
      <c r="L51" s="311">
        <v>0</v>
      </c>
      <c r="M51" s="311">
        <v>0</v>
      </c>
      <c r="N51" s="520" t="e">
        <f>K50/H50*100</f>
        <v>#DIV/0!</v>
      </c>
    </row>
    <row r="52" spans="1:14" ht="21" customHeight="1">
      <c r="A52" s="310"/>
      <c r="B52" s="312"/>
      <c r="C52" s="518" t="s">
        <v>123</v>
      </c>
      <c r="D52" s="316">
        <v>0</v>
      </c>
      <c r="E52" s="316">
        <v>0</v>
      </c>
      <c r="F52" s="316">
        <v>0</v>
      </c>
      <c r="G52" s="316">
        <v>0</v>
      </c>
      <c r="H52" s="316">
        <v>0</v>
      </c>
      <c r="I52" s="316">
        <v>0</v>
      </c>
      <c r="J52" s="316">
        <v>0</v>
      </c>
      <c r="K52" s="316">
        <v>0</v>
      </c>
      <c r="L52" s="316">
        <v>0</v>
      </c>
      <c r="M52" s="311">
        <v>0</v>
      </c>
      <c r="N52" s="520" t="e">
        <f t="shared" ref="N52:N55" si="19">K51/H51*100</f>
        <v>#DIV/0!</v>
      </c>
    </row>
    <row r="53" spans="1:14" ht="21" customHeight="1">
      <c r="A53" s="310"/>
      <c r="B53" s="312"/>
      <c r="C53" s="518" t="s">
        <v>135</v>
      </c>
      <c r="D53" s="316">
        <v>0</v>
      </c>
      <c r="E53" s="316">
        <v>0</v>
      </c>
      <c r="F53" s="316">
        <v>0</v>
      </c>
      <c r="G53" s="316">
        <v>0</v>
      </c>
      <c r="H53" s="316">
        <v>0</v>
      </c>
      <c r="I53" s="316">
        <v>0</v>
      </c>
      <c r="J53" s="316">
        <v>0</v>
      </c>
      <c r="K53" s="316">
        <v>0</v>
      </c>
      <c r="L53" s="316">
        <v>0</v>
      </c>
      <c r="M53" s="311">
        <v>0</v>
      </c>
      <c r="N53" s="520" t="e">
        <f t="shared" si="19"/>
        <v>#DIV/0!</v>
      </c>
    </row>
    <row r="54" spans="1:14" ht="21" customHeight="1">
      <c r="A54" s="310"/>
      <c r="B54" s="312"/>
      <c r="C54" s="518" t="s">
        <v>136</v>
      </c>
      <c r="D54" s="316">
        <v>0</v>
      </c>
      <c r="E54" s="316">
        <v>0</v>
      </c>
      <c r="F54" s="316">
        <v>0</v>
      </c>
      <c r="G54" s="316">
        <v>0</v>
      </c>
      <c r="H54" s="316">
        <v>0</v>
      </c>
      <c r="I54" s="316">
        <v>0</v>
      </c>
      <c r="J54" s="316">
        <v>0</v>
      </c>
      <c r="K54" s="316">
        <v>0</v>
      </c>
      <c r="L54" s="316">
        <v>0</v>
      </c>
      <c r="M54" s="311">
        <v>0</v>
      </c>
      <c r="N54" s="520" t="e">
        <f t="shared" si="19"/>
        <v>#DIV/0!</v>
      </c>
    </row>
    <row r="55" spans="1:14" ht="21" customHeight="1">
      <c r="A55" s="310"/>
      <c r="B55" s="312"/>
      <c r="C55" s="518" t="s">
        <v>137</v>
      </c>
      <c r="D55" s="316">
        <v>0</v>
      </c>
      <c r="E55" s="316">
        <v>0</v>
      </c>
      <c r="F55" s="316">
        <v>0</v>
      </c>
      <c r="G55" s="316">
        <v>0</v>
      </c>
      <c r="H55" s="316">
        <v>0</v>
      </c>
      <c r="I55" s="316">
        <v>0</v>
      </c>
      <c r="J55" s="316">
        <v>0</v>
      </c>
      <c r="K55" s="316">
        <v>0</v>
      </c>
      <c r="L55" s="316">
        <v>0</v>
      </c>
      <c r="M55" s="311">
        <v>0</v>
      </c>
      <c r="N55" s="520" t="e">
        <f t="shared" si="19"/>
        <v>#DIV/0!</v>
      </c>
    </row>
    <row r="56" spans="1:14" ht="18" customHeight="1">
      <c r="A56" s="310"/>
      <c r="B56" s="523"/>
      <c r="C56" s="524" t="s">
        <v>128</v>
      </c>
      <c r="D56" s="315">
        <f>D30</f>
        <v>1940414000</v>
      </c>
      <c r="E56" s="315">
        <f t="shared" ref="E56:N56" si="20">E30</f>
        <v>100</v>
      </c>
      <c r="F56" s="315">
        <f t="shared" si="20"/>
        <v>1523300000</v>
      </c>
      <c r="G56" s="315">
        <f t="shared" si="20"/>
        <v>100.00000000000001</v>
      </c>
      <c r="H56" s="315">
        <f t="shared" si="20"/>
        <v>1673932853</v>
      </c>
      <c r="I56" s="315">
        <f t="shared" si="20"/>
        <v>100</v>
      </c>
      <c r="J56" s="315">
        <f>J30</f>
        <v>150632853</v>
      </c>
      <c r="K56" s="315">
        <f>K30</f>
        <v>1656802891</v>
      </c>
      <c r="L56" s="315">
        <f>L30</f>
        <v>100</v>
      </c>
      <c r="M56" s="315">
        <f t="shared" si="20"/>
        <v>17129962</v>
      </c>
      <c r="N56" s="315">
        <f t="shared" si="20"/>
        <v>98.976663731206429</v>
      </c>
    </row>
  </sheetData>
  <mergeCells count="20">
    <mergeCell ref="B13:C13"/>
    <mergeCell ref="B34:C34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.17" right="0.17" top="0.17" bottom="0.17" header="0.17" footer="0.17"/>
  <pageSetup scale="70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P106"/>
  <sheetViews>
    <sheetView workbookViewId="0">
      <pane xSplit="5" ySplit="1" topLeftCell="F2" activePane="bottomRight" state="frozen"/>
      <selection pane="topRight" activeCell="F1" sqref="F1"/>
      <selection pane="bottomLeft" activeCell="A13" sqref="A13"/>
      <selection pane="bottomRight" activeCell="B4" sqref="B4:N4"/>
    </sheetView>
  </sheetViews>
  <sheetFormatPr defaultRowHeight="15"/>
  <cols>
    <col min="1" max="1" width="3.42578125" style="42" hidden="1" customWidth="1"/>
    <col min="2" max="2" width="10.140625" style="350" customWidth="1"/>
    <col min="3" max="3" width="51.140625" style="350" customWidth="1"/>
    <col min="4" max="4" width="16.42578125" style="350" customWidth="1"/>
    <col min="5" max="5" width="8.5703125" style="350" customWidth="1"/>
    <col min="6" max="6" width="15.42578125" style="350" customWidth="1"/>
    <col min="7" max="7" width="10.85546875" style="350" customWidth="1"/>
    <col min="8" max="8" width="15.85546875" style="350" customWidth="1"/>
    <col min="9" max="9" width="10.42578125" style="350" customWidth="1"/>
    <col min="10" max="10" width="16.28515625" style="350" customWidth="1"/>
    <col min="11" max="11" width="15.85546875" style="352" customWidth="1"/>
    <col min="12" max="12" width="10.28515625" style="350" customWidth="1"/>
    <col min="13" max="13" width="15.28515625" style="350" customWidth="1"/>
    <col min="14" max="14" width="8.140625" style="350" customWidth="1"/>
    <col min="15" max="15" width="9.140625" style="350"/>
    <col min="16" max="16" width="17.7109375" style="350" customWidth="1"/>
    <col min="17" max="16384" width="9.140625" style="42"/>
  </cols>
  <sheetData>
    <row r="1" spans="1:14">
      <c r="A1" s="131"/>
      <c r="B1" s="638"/>
      <c r="C1" s="337"/>
      <c r="D1" s="337"/>
      <c r="E1" s="337"/>
      <c r="F1" s="337"/>
      <c r="G1" s="337"/>
      <c r="H1" s="337"/>
      <c r="I1" s="337"/>
      <c r="J1" s="337"/>
      <c r="K1" s="639"/>
      <c r="L1" s="337"/>
      <c r="M1" s="337"/>
      <c r="N1" s="337"/>
    </row>
    <row r="2" spans="1:14">
      <c r="A2" s="131"/>
      <c r="B2" s="1090" t="s">
        <v>112</v>
      </c>
      <c r="C2" s="1090"/>
      <c r="D2" s="1090"/>
      <c r="E2" s="1090"/>
      <c r="F2" s="1090"/>
      <c r="G2" s="1090"/>
      <c r="H2" s="1090"/>
      <c r="I2" s="1090"/>
      <c r="J2" s="1090"/>
      <c r="K2" s="1090"/>
      <c r="L2" s="1090"/>
      <c r="M2" s="1090"/>
      <c r="N2" s="1090"/>
    </row>
    <row r="3" spans="1:14">
      <c r="A3" s="131"/>
      <c r="B3" s="1091" t="s">
        <v>196</v>
      </c>
      <c r="C3" s="1091"/>
      <c r="D3" s="1091"/>
      <c r="E3" s="1091"/>
      <c r="F3" s="1091"/>
      <c r="G3" s="1091"/>
      <c r="H3" s="1091"/>
      <c r="I3" s="1091"/>
      <c r="J3" s="1091"/>
      <c r="K3" s="1091"/>
      <c r="L3" s="1091"/>
      <c r="M3" s="1091"/>
      <c r="N3" s="1091"/>
    </row>
    <row r="4" spans="1:14" ht="10.5" customHeight="1">
      <c r="A4" s="131"/>
      <c r="B4" s="1092" t="s">
        <v>1</v>
      </c>
      <c r="C4" s="1092"/>
      <c r="D4" s="1092"/>
      <c r="E4" s="1092"/>
      <c r="F4" s="1092"/>
      <c r="G4" s="1092"/>
      <c r="H4" s="1092"/>
      <c r="I4" s="1092"/>
      <c r="J4" s="1092"/>
      <c r="K4" s="1092"/>
      <c r="L4" s="1092"/>
      <c r="M4" s="1092"/>
      <c r="N4" s="1092"/>
    </row>
    <row r="5" spans="1:14" ht="6" customHeight="1" thickBot="1">
      <c r="A5" s="1093"/>
      <c r="B5" s="337"/>
      <c r="C5" s="337"/>
      <c r="D5" s="337"/>
      <c r="E5" s="337"/>
      <c r="F5" s="337"/>
      <c r="G5" s="337"/>
      <c r="H5" s="337"/>
      <c r="I5" s="337"/>
      <c r="J5" s="337"/>
      <c r="K5" s="639"/>
      <c r="L5" s="337"/>
      <c r="M5" s="337"/>
      <c r="N5" s="337"/>
    </row>
    <row r="6" spans="1:14">
      <c r="A6" s="1093"/>
      <c r="B6" s="1094" t="s">
        <v>113</v>
      </c>
      <c r="C6" s="1096" t="s">
        <v>197</v>
      </c>
      <c r="D6" s="1096"/>
      <c r="E6" s="1096"/>
      <c r="F6" s="1098" t="s">
        <v>3</v>
      </c>
      <c r="G6" s="1098"/>
      <c r="H6" s="1096" t="s">
        <v>221</v>
      </c>
      <c r="I6" s="1096"/>
      <c r="J6" s="1096"/>
      <c r="K6" s="1096"/>
      <c r="L6" s="1096"/>
      <c r="M6" s="1096"/>
      <c r="N6" s="1100"/>
    </row>
    <row r="7" spans="1:14">
      <c r="A7" s="131"/>
      <c r="B7" s="1095"/>
      <c r="C7" s="1097"/>
      <c r="D7" s="1097"/>
      <c r="E7" s="1097"/>
      <c r="F7" s="1099"/>
      <c r="G7" s="1099"/>
      <c r="H7" s="1097"/>
      <c r="I7" s="1097"/>
      <c r="J7" s="1097"/>
      <c r="K7" s="1097"/>
      <c r="L7" s="1097"/>
      <c r="M7" s="1097"/>
      <c r="N7" s="1101"/>
    </row>
    <row r="8" spans="1:14">
      <c r="A8" s="131"/>
      <c r="B8" s="640" t="s">
        <v>114</v>
      </c>
      <c r="C8" s="1102" t="s">
        <v>185</v>
      </c>
      <c r="D8" s="1102"/>
      <c r="E8" s="1102"/>
      <c r="F8" s="1103" t="s">
        <v>115</v>
      </c>
      <c r="G8" s="1103"/>
      <c r="H8" s="1102" t="s">
        <v>184</v>
      </c>
      <c r="I8" s="1102"/>
      <c r="J8" s="1102"/>
      <c r="K8" s="1102"/>
      <c r="L8" s="1102"/>
      <c r="M8" s="1102"/>
      <c r="N8" s="1104"/>
    </row>
    <row r="9" spans="1:14">
      <c r="A9" s="131"/>
      <c r="B9" s="1105" t="s">
        <v>4</v>
      </c>
      <c r="C9" s="1106"/>
      <c r="D9" s="1111" t="s">
        <v>116</v>
      </c>
      <c r="E9" s="1112"/>
      <c r="F9" s="1112"/>
      <c r="G9" s="1112"/>
      <c r="H9" s="1112"/>
      <c r="I9" s="1112"/>
      <c r="J9" s="1112"/>
      <c r="K9" s="1112"/>
      <c r="L9" s="1112"/>
      <c r="M9" s="1112"/>
      <c r="N9" s="1113"/>
    </row>
    <row r="10" spans="1:14" ht="16.5" customHeight="1">
      <c r="A10" s="131"/>
      <c r="B10" s="1107"/>
      <c r="C10" s="1108"/>
      <c r="D10" s="641" t="s">
        <v>117</v>
      </c>
      <c r="E10" s="642">
        <v>2024</v>
      </c>
      <c r="F10" s="1114" t="s">
        <v>6</v>
      </c>
      <c r="G10" s="1115"/>
      <c r="H10" s="1114" t="s">
        <v>6</v>
      </c>
      <c r="I10" s="1115"/>
      <c r="J10" s="643" t="s">
        <v>6</v>
      </c>
      <c r="K10" s="1114" t="s">
        <v>6</v>
      </c>
      <c r="L10" s="1115"/>
      <c r="M10" s="1116" t="s">
        <v>118</v>
      </c>
      <c r="N10" s="1118" t="s">
        <v>8</v>
      </c>
    </row>
    <row r="11" spans="1:14" ht="40.5" customHeight="1">
      <c r="A11" s="131"/>
      <c r="B11" s="1107"/>
      <c r="C11" s="1108"/>
      <c r="D11" s="644" t="s">
        <v>119</v>
      </c>
      <c r="E11" s="645" t="s">
        <v>10</v>
      </c>
      <c r="F11" s="646" t="s">
        <v>182</v>
      </c>
      <c r="G11" s="647" t="s">
        <v>10</v>
      </c>
      <c r="H11" s="646" t="s">
        <v>183</v>
      </c>
      <c r="I11" s="647" t="s">
        <v>10</v>
      </c>
      <c r="J11" s="648" t="s">
        <v>120</v>
      </c>
      <c r="K11" s="649" t="s">
        <v>12</v>
      </c>
      <c r="L11" s="647" t="s">
        <v>10</v>
      </c>
      <c r="M11" s="1117"/>
      <c r="N11" s="1119"/>
    </row>
    <row r="12" spans="1:14" ht="15.75" thickBot="1">
      <c r="A12" s="131"/>
      <c r="B12" s="1109"/>
      <c r="C12" s="1110"/>
      <c r="D12" s="650" t="s">
        <v>13</v>
      </c>
      <c r="E12" s="650" t="s">
        <v>14</v>
      </c>
      <c r="F12" s="650" t="s">
        <v>15</v>
      </c>
      <c r="G12" s="650" t="s">
        <v>16</v>
      </c>
      <c r="H12" s="650" t="s">
        <v>17</v>
      </c>
      <c r="I12" s="650" t="s">
        <v>18</v>
      </c>
      <c r="J12" s="650" t="s">
        <v>19</v>
      </c>
      <c r="K12" s="651" t="s">
        <v>20</v>
      </c>
      <c r="L12" s="650" t="s">
        <v>21</v>
      </c>
      <c r="M12" s="650" t="s">
        <v>22</v>
      </c>
      <c r="N12" s="652" t="s">
        <v>23</v>
      </c>
    </row>
    <row r="13" spans="1:14" ht="15.75" thickTop="1">
      <c r="A13" s="131"/>
      <c r="B13" s="1086" t="s">
        <v>32</v>
      </c>
      <c r="C13" s="1087"/>
      <c r="D13" s="653"/>
      <c r="E13" s="654"/>
      <c r="F13" s="653"/>
      <c r="G13" s="654"/>
      <c r="H13" s="653"/>
      <c r="I13" s="654"/>
      <c r="J13" s="655"/>
      <c r="K13" s="656"/>
      <c r="L13" s="654"/>
      <c r="M13" s="653"/>
      <c r="N13" s="657"/>
    </row>
    <row r="14" spans="1:14" ht="19.5" customHeight="1">
      <c r="A14" s="131"/>
      <c r="B14" s="658" t="s">
        <v>25</v>
      </c>
      <c r="C14" s="659" t="s">
        <v>26</v>
      </c>
      <c r="D14" s="653"/>
      <c r="E14" s="654"/>
      <c r="F14" s="653"/>
      <c r="G14" s="654"/>
      <c r="H14" s="653"/>
      <c r="I14" s="654"/>
      <c r="J14" s="660"/>
      <c r="K14" s="656"/>
      <c r="L14" s="654"/>
      <c r="M14" s="653"/>
      <c r="N14" s="657"/>
    </row>
    <row r="15" spans="1:14">
      <c r="A15" s="131"/>
      <c r="B15" s="661" t="s">
        <v>34</v>
      </c>
      <c r="C15" s="662" t="s">
        <v>35</v>
      </c>
      <c r="D15" s="663">
        <v>3590420677</v>
      </c>
      <c r="E15" s="664">
        <f>D15/D22*100</f>
        <v>49.422742233302316</v>
      </c>
      <c r="F15" s="665">
        <v>3869168000</v>
      </c>
      <c r="G15" s="664">
        <f>F15/F22*100</f>
        <v>51.919404830052848</v>
      </c>
      <c r="H15" s="665">
        <v>4861643950</v>
      </c>
      <c r="I15" s="664">
        <f>H15/H22*100</f>
        <v>52.625817258003885</v>
      </c>
      <c r="J15" s="665">
        <f>H15-F15</f>
        <v>992475950</v>
      </c>
      <c r="K15" s="666">
        <v>4851623432</v>
      </c>
      <c r="L15" s="664">
        <f>K15/K22*100</f>
        <v>52.990356638515969</v>
      </c>
      <c r="M15" s="665">
        <f>H15-K15</f>
        <v>10020518</v>
      </c>
      <c r="N15" s="667">
        <f>K15/H15*100</f>
        <v>99.793886222375463</v>
      </c>
    </row>
    <row r="16" spans="1:14">
      <c r="A16" s="131"/>
      <c r="B16" s="661" t="s">
        <v>36</v>
      </c>
      <c r="C16" s="662" t="s">
        <v>37</v>
      </c>
      <c r="D16" s="663">
        <v>608428184</v>
      </c>
      <c r="E16" s="664">
        <f>D16/D22*100</f>
        <v>8.3751159015810863</v>
      </c>
      <c r="F16" s="665">
        <v>680000000</v>
      </c>
      <c r="G16" s="664">
        <f>F16/F22*100</f>
        <v>9.1247511827958725</v>
      </c>
      <c r="H16" s="665">
        <v>787160000</v>
      </c>
      <c r="I16" s="664">
        <f>H16/H22*100</f>
        <v>8.5207676125295713</v>
      </c>
      <c r="J16" s="665">
        <f t="shared" ref="J16:J21" si="0">H16-F16</f>
        <v>107160000</v>
      </c>
      <c r="K16" s="666">
        <v>784786628</v>
      </c>
      <c r="L16" s="664">
        <f>K16/K22*100</f>
        <v>8.5715892599098904</v>
      </c>
      <c r="M16" s="665">
        <f t="shared" ref="M16:M27" si="1">H16-K16</f>
        <v>2373372</v>
      </c>
      <c r="N16" s="667">
        <f t="shared" ref="N16:N33" si="2">K16/H16*100</f>
        <v>99.698489252502668</v>
      </c>
    </row>
    <row r="17" spans="1:14">
      <c r="A17" s="131"/>
      <c r="B17" s="661" t="s">
        <v>38</v>
      </c>
      <c r="C17" s="662" t="s">
        <v>39</v>
      </c>
      <c r="D17" s="663">
        <v>2994541733.5999999</v>
      </c>
      <c r="E17" s="664">
        <f>D17/D22*100</f>
        <v>41.220368731343243</v>
      </c>
      <c r="F17" s="665">
        <v>2863090000</v>
      </c>
      <c r="G17" s="664">
        <f>F17/F22*100</f>
        <v>38.419093917575047</v>
      </c>
      <c r="H17" s="665">
        <v>3523090000</v>
      </c>
      <c r="I17" s="664">
        <f>H17/H22*100</f>
        <v>38.136377824110482</v>
      </c>
      <c r="J17" s="665">
        <f t="shared" si="0"/>
        <v>660000000</v>
      </c>
      <c r="K17" s="666">
        <v>3456990350.04</v>
      </c>
      <c r="L17" s="664">
        <f>K17/K22*100</f>
        <v>37.757908071816679</v>
      </c>
      <c r="M17" s="665">
        <f t="shared" si="1"/>
        <v>66099649.960000038</v>
      </c>
      <c r="N17" s="667">
        <f t="shared" si="2"/>
        <v>98.123816026272394</v>
      </c>
    </row>
    <row r="18" spans="1:14">
      <c r="A18" s="131"/>
      <c r="B18" s="661" t="s">
        <v>40</v>
      </c>
      <c r="C18" s="662" t="s">
        <v>41</v>
      </c>
      <c r="D18" s="663">
        <v>0</v>
      </c>
      <c r="E18" s="664">
        <f>D18/D22*100</f>
        <v>0</v>
      </c>
      <c r="F18" s="665">
        <v>0</v>
      </c>
      <c r="G18" s="664">
        <f>F18/F22*100</f>
        <v>0</v>
      </c>
      <c r="H18" s="665">
        <v>0</v>
      </c>
      <c r="I18" s="664">
        <f>H18/H22*100</f>
        <v>0</v>
      </c>
      <c r="J18" s="665">
        <f t="shared" si="0"/>
        <v>0</v>
      </c>
      <c r="K18" s="666"/>
      <c r="L18" s="664">
        <f>K18/K22*100</f>
        <v>0</v>
      </c>
      <c r="M18" s="665">
        <f t="shared" si="1"/>
        <v>0</v>
      </c>
      <c r="N18" s="667"/>
    </row>
    <row r="19" spans="1:14">
      <c r="A19" s="131"/>
      <c r="B19" s="661" t="s">
        <v>42</v>
      </c>
      <c r="C19" s="662" t="s">
        <v>43</v>
      </c>
      <c r="D19" s="663">
        <v>0</v>
      </c>
      <c r="E19" s="664">
        <f>D19/D22*100</f>
        <v>0</v>
      </c>
      <c r="F19" s="665">
        <v>0</v>
      </c>
      <c r="G19" s="664">
        <f>F19/F22*100</f>
        <v>0</v>
      </c>
      <c r="H19" s="665">
        <v>0</v>
      </c>
      <c r="I19" s="664">
        <f>H19/H22*100</f>
        <v>0</v>
      </c>
      <c r="J19" s="665">
        <f t="shared" si="0"/>
        <v>0</v>
      </c>
      <c r="K19" s="666"/>
      <c r="L19" s="664">
        <f>K19/K22*100</f>
        <v>0</v>
      </c>
      <c r="M19" s="665">
        <f t="shared" si="1"/>
        <v>0</v>
      </c>
      <c r="N19" s="667"/>
    </row>
    <row r="20" spans="1:14">
      <c r="A20" s="131"/>
      <c r="B20" s="661" t="s">
        <v>44</v>
      </c>
      <c r="C20" s="662" t="s">
        <v>45</v>
      </c>
      <c r="D20" s="668">
        <v>0</v>
      </c>
      <c r="E20" s="669">
        <f>D20/D22*100</f>
        <v>0</v>
      </c>
      <c r="F20" s="670">
        <v>0</v>
      </c>
      <c r="G20" s="669">
        <f>F20/F22*100</f>
        <v>0</v>
      </c>
      <c r="H20" s="670">
        <v>0</v>
      </c>
      <c r="I20" s="669">
        <f>H20/H22*100</f>
        <v>0</v>
      </c>
      <c r="J20" s="670">
        <f t="shared" si="0"/>
        <v>0</v>
      </c>
      <c r="K20" s="671"/>
      <c r="L20" s="669">
        <f>K20/K22*100</f>
        <v>0</v>
      </c>
      <c r="M20" s="670">
        <f>H20-K20</f>
        <v>0</v>
      </c>
      <c r="N20" s="672"/>
    </row>
    <row r="21" spans="1:14">
      <c r="A21" s="131"/>
      <c r="B21" s="661" t="s">
        <v>46</v>
      </c>
      <c r="C21" s="662" t="s">
        <v>47</v>
      </c>
      <c r="D21" s="668">
        <v>71323006.379999995</v>
      </c>
      <c r="E21" s="669">
        <f>D21/D22*100</f>
        <v>0.98177313377334818</v>
      </c>
      <c r="F21" s="670">
        <v>40000000</v>
      </c>
      <c r="G21" s="669">
        <f>F21/F22*100</f>
        <v>0.53675006957622773</v>
      </c>
      <c r="H21" s="528">
        <v>66240873</v>
      </c>
      <c r="I21" s="669">
        <f>H21/H22*100</f>
        <v>0.71703730535607058</v>
      </c>
      <c r="J21" s="670">
        <f t="shared" si="0"/>
        <v>26240873</v>
      </c>
      <c r="K21" s="671">
        <v>62271942</v>
      </c>
      <c r="L21" s="669">
        <f>K21/K22*100</f>
        <v>0.68014602975744332</v>
      </c>
      <c r="M21" s="670">
        <f>H21-K21</f>
        <v>3968931</v>
      </c>
      <c r="N21" s="672">
        <f>K21/H21*100</f>
        <v>94.008335306812768</v>
      </c>
    </row>
    <row r="22" spans="1:14">
      <c r="A22" s="131"/>
      <c r="B22" s="673"/>
      <c r="C22" s="674" t="s">
        <v>121</v>
      </c>
      <c r="D22" s="675">
        <f>D15+D16+D17+D18+D19+D20+D21</f>
        <v>7264713600.9800005</v>
      </c>
      <c r="E22" s="676">
        <f>D22/D30*100</f>
        <v>49.935574758820096</v>
      </c>
      <c r="F22" s="675">
        <f t="shared" ref="F22:M22" si="3">F15+F16+F17+F18+F19+F20+F21</f>
        <v>7452258000</v>
      </c>
      <c r="G22" s="676">
        <f>F22/F30*100</f>
        <v>25.827685946489186</v>
      </c>
      <c r="H22" s="675">
        <f>H15+H16+H17+H18+H19+H20+H21</f>
        <v>9238134823</v>
      </c>
      <c r="I22" s="676">
        <f>H22/H30*100</f>
        <v>51.112120048480293</v>
      </c>
      <c r="J22" s="675">
        <f t="shared" si="3"/>
        <v>1785876823</v>
      </c>
      <c r="K22" s="677">
        <f>K15+K16+K17+K18+K19+K20+K21</f>
        <v>9155672352.0400009</v>
      </c>
      <c r="L22" s="676">
        <f>K22/K30*100</f>
        <v>52.675312884796909</v>
      </c>
      <c r="M22" s="675">
        <f t="shared" si="3"/>
        <v>82462470.960000038</v>
      </c>
      <c r="N22" s="678">
        <f t="shared" si="2"/>
        <v>99.107368829964528</v>
      </c>
    </row>
    <row r="23" spans="1:14">
      <c r="A23" s="131"/>
      <c r="B23" s="661" t="s">
        <v>49</v>
      </c>
      <c r="C23" s="662" t="s">
        <v>50</v>
      </c>
      <c r="D23" s="668">
        <v>0</v>
      </c>
      <c r="E23" s="669">
        <f>D23/D25*100</f>
        <v>0</v>
      </c>
      <c r="F23" s="670">
        <v>0</v>
      </c>
      <c r="G23" s="669">
        <f>F23/F25*100</f>
        <v>0</v>
      </c>
      <c r="H23" s="670">
        <v>0</v>
      </c>
      <c r="I23" s="669">
        <f>H23/H25*100</f>
        <v>0</v>
      </c>
      <c r="J23" s="669">
        <f>I23/I25*100</f>
        <v>0</v>
      </c>
      <c r="K23" s="671">
        <v>0</v>
      </c>
      <c r="L23" s="669">
        <f>K23/K25*100</f>
        <v>0</v>
      </c>
      <c r="M23" s="670">
        <f t="shared" si="1"/>
        <v>0</v>
      </c>
      <c r="N23" s="672"/>
    </row>
    <row r="24" spans="1:14">
      <c r="A24" s="131"/>
      <c r="B24" s="661" t="s">
        <v>51</v>
      </c>
      <c r="C24" s="662" t="s">
        <v>52</v>
      </c>
      <c r="D24" s="668">
        <v>7283458991.54</v>
      </c>
      <c r="E24" s="669">
        <f>D24/D25*100</f>
        <v>100</v>
      </c>
      <c r="F24" s="670">
        <v>11201500000</v>
      </c>
      <c r="G24" s="669"/>
      <c r="H24" s="670">
        <v>8836120000</v>
      </c>
      <c r="I24" s="669">
        <f>H24/H25*100</f>
        <v>100</v>
      </c>
      <c r="J24" s="669">
        <f>I24/I25*100</f>
        <v>204.54967590978845</v>
      </c>
      <c r="K24" s="671">
        <v>8225662187.0900002</v>
      </c>
      <c r="L24" s="669">
        <f>K24/K25*100</f>
        <v>100</v>
      </c>
      <c r="M24" s="670">
        <f t="shared" si="1"/>
        <v>610457812.90999985</v>
      </c>
      <c r="N24" s="672">
        <f t="shared" si="2"/>
        <v>93.091336322843048</v>
      </c>
    </row>
    <row r="25" spans="1:14">
      <c r="A25" s="131"/>
      <c r="B25" s="673"/>
      <c r="C25" s="674" t="s">
        <v>122</v>
      </c>
      <c r="D25" s="675">
        <f>D23+D24</f>
        <v>7283458991.54</v>
      </c>
      <c r="E25" s="677">
        <f>D25/D30*100</f>
        <v>50.064425241179897</v>
      </c>
      <c r="F25" s="675">
        <f t="shared" ref="F25:M25" si="4">F23+F24</f>
        <v>11201500000</v>
      </c>
      <c r="G25" s="677">
        <f>F25/F30*100</f>
        <v>38.821632870144676</v>
      </c>
      <c r="H25" s="675">
        <f>H23+H24</f>
        <v>8836120000</v>
      </c>
      <c r="I25" s="677">
        <f>H25/H30*100</f>
        <v>48.8878799515197</v>
      </c>
      <c r="J25" s="675">
        <f t="shared" si="4"/>
        <v>204.54967590978845</v>
      </c>
      <c r="K25" s="677">
        <f t="shared" si="4"/>
        <v>8225662187.0900002</v>
      </c>
      <c r="L25" s="677">
        <f>K25/K30*100</f>
        <v>47.324687115203091</v>
      </c>
      <c r="M25" s="675">
        <f t="shared" si="4"/>
        <v>610457812.90999985</v>
      </c>
      <c r="N25" s="678">
        <f t="shared" si="2"/>
        <v>93.091336322843048</v>
      </c>
    </row>
    <row r="26" spans="1:14">
      <c r="A26" s="131"/>
      <c r="B26" s="661" t="s">
        <v>49</v>
      </c>
      <c r="C26" s="662" t="s">
        <v>50</v>
      </c>
      <c r="D26" s="668">
        <v>0</v>
      </c>
      <c r="E26" s="671">
        <f>D26/D29*100</f>
        <v>0</v>
      </c>
      <c r="F26" s="670">
        <v>0</v>
      </c>
      <c r="G26" s="671">
        <f>F26/F29*100</f>
        <v>0</v>
      </c>
      <c r="H26" s="670">
        <v>0</v>
      </c>
      <c r="I26" s="671">
        <f>H26/H29*100</f>
        <v>0</v>
      </c>
      <c r="J26" s="670">
        <f>H26-F26</f>
        <v>0</v>
      </c>
      <c r="K26" s="671">
        <v>0</v>
      </c>
      <c r="L26" s="671">
        <f>K26/K29*100</f>
        <v>0</v>
      </c>
      <c r="M26" s="670">
        <f t="shared" si="1"/>
        <v>0</v>
      </c>
      <c r="N26" s="672" t="e">
        <f t="shared" si="2"/>
        <v>#DIV/0!</v>
      </c>
    </row>
    <row r="27" spans="1:14">
      <c r="A27" s="131"/>
      <c r="B27" s="661" t="s">
        <v>51</v>
      </c>
      <c r="C27" s="662" t="s">
        <v>52</v>
      </c>
      <c r="D27" s="668">
        <v>0</v>
      </c>
      <c r="E27" s="671">
        <f>D27/D30*100</f>
        <v>0</v>
      </c>
      <c r="F27" s="670">
        <v>10200000000</v>
      </c>
      <c r="G27" s="671"/>
      <c r="H27" s="670"/>
      <c r="I27" s="671">
        <f>H27/H30*100</f>
        <v>0</v>
      </c>
      <c r="J27" s="670">
        <f>H27-F27</f>
        <v>-10200000000</v>
      </c>
      <c r="K27" s="671"/>
      <c r="L27" s="671">
        <f>K27/K30*100</f>
        <v>0</v>
      </c>
      <c r="M27" s="670">
        <f t="shared" si="1"/>
        <v>0</v>
      </c>
      <c r="N27" s="672" t="e">
        <f t="shared" si="2"/>
        <v>#DIV/0!</v>
      </c>
    </row>
    <row r="28" spans="1:14">
      <c r="A28" s="131"/>
      <c r="B28" s="673"/>
      <c r="C28" s="674" t="s">
        <v>123</v>
      </c>
      <c r="D28" s="675">
        <f>D26+D27</f>
        <v>0</v>
      </c>
      <c r="E28" s="671">
        <f>D28/D30*100</f>
        <v>0</v>
      </c>
      <c r="F28" s="675">
        <f t="shared" ref="F28:M28" si="5">F26+F27</f>
        <v>10200000000</v>
      </c>
      <c r="G28" s="671">
        <f>F28/F30*100</f>
        <v>35.350681183366135</v>
      </c>
      <c r="H28" s="675">
        <f t="shared" si="5"/>
        <v>0</v>
      </c>
      <c r="I28" s="671">
        <f>H28/H30*100</f>
        <v>0</v>
      </c>
      <c r="J28" s="675">
        <f t="shared" si="5"/>
        <v>-10200000000</v>
      </c>
      <c r="K28" s="671">
        <f t="shared" si="5"/>
        <v>0</v>
      </c>
      <c r="L28" s="671">
        <f>K28/K30*100</f>
        <v>0</v>
      </c>
      <c r="M28" s="675">
        <f t="shared" si="5"/>
        <v>0</v>
      </c>
      <c r="N28" s="672"/>
    </row>
    <row r="29" spans="1:14">
      <c r="A29" s="131"/>
      <c r="B29" s="673"/>
      <c r="C29" s="674" t="s">
        <v>124</v>
      </c>
      <c r="D29" s="675">
        <f>D25+D28</f>
        <v>7283458991.54</v>
      </c>
      <c r="E29" s="671">
        <f>D29/D30*100</f>
        <v>50.064425241179897</v>
      </c>
      <c r="F29" s="675">
        <f>F25+F28</f>
        <v>21401500000</v>
      </c>
      <c r="G29" s="671">
        <f>F29/F30*100</f>
        <v>74.172314053510817</v>
      </c>
      <c r="H29" s="675">
        <f>H25+H28</f>
        <v>8836120000</v>
      </c>
      <c r="I29" s="671">
        <f>H29/H30*100</f>
        <v>48.8878799515197</v>
      </c>
      <c r="J29" s="675">
        <f t="shared" ref="J29:M29" si="6">J25+J28</f>
        <v>-10199999795.450325</v>
      </c>
      <c r="K29" s="677">
        <f t="shared" si="6"/>
        <v>8225662187.0900002</v>
      </c>
      <c r="L29" s="671">
        <f>K29/K30*100</f>
        <v>47.324687115203091</v>
      </c>
      <c r="M29" s="675">
        <f t="shared" si="6"/>
        <v>610457812.90999985</v>
      </c>
      <c r="N29" s="672">
        <f t="shared" si="2"/>
        <v>93.091336322843048</v>
      </c>
    </row>
    <row r="30" spans="1:14">
      <c r="A30" s="131"/>
      <c r="B30" s="673"/>
      <c r="C30" s="674" t="s">
        <v>125</v>
      </c>
      <c r="D30" s="675">
        <f>D22+D29</f>
        <v>14548172592.52</v>
      </c>
      <c r="E30" s="677">
        <f>E22+E25</f>
        <v>100</v>
      </c>
      <c r="F30" s="675">
        <f t="shared" ref="F30:M30" si="7">F22+F29</f>
        <v>28853758000</v>
      </c>
      <c r="G30" s="677">
        <f>G22+G25+G28</f>
        <v>100</v>
      </c>
      <c r="H30" s="675">
        <f>H22+H29</f>
        <v>18074254823</v>
      </c>
      <c r="I30" s="677">
        <f>I22+I25</f>
        <v>100</v>
      </c>
      <c r="J30" s="675">
        <f t="shared" si="7"/>
        <v>-8414122972.450325</v>
      </c>
      <c r="K30" s="677">
        <f t="shared" si="7"/>
        <v>17381334539.130001</v>
      </c>
      <c r="L30" s="677">
        <f>L22+L25</f>
        <v>100</v>
      </c>
      <c r="M30" s="675">
        <f t="shared" si="7"/>
        <v>692920283.86999989</v>
      </c>
      <c r="N30" s="672">
        <f t="shared" si="2"/>
        <v>96.166258080038574</v>
      </c>
    </row>
    <row r="31" spans="1:14" ht="23.25" customHeight="1">
      <c r="A31" s="131"/>
      <c r="B31" s="673"/>
      <c r="C31" s="679" t="s">
        <v>126</v>
      </c>
      <c r="D31" s="675">
        <v>0</v>
      </c>
      <c r="E31" s="680"/>
      <c r="F31" s="680"/>
      <c r="G31" s="680"/>
      <c r="H31" s="680"/>
      <c r="I31" s="680"/>
      <c r="J31" s="680"/>
      <c r="K31" s="677">
        <v>0</v>
      </c>
      <c r="L31" s="680"/>
      <c r="M31" s="680">
        <f t="shared" ref="M31:M32" si="8">H31-K31</f>
        <v>0</v>
      </c>
      <c r="N31" s="672"/>
    </row>
    <row r="32" spans="1:14">
      <c r="A32" s="131"/>
      <c r="B32" s="673"/>
      <c r="C32" s="679" t="s">
        <v>127</v>
      </c>
      <c r="D32" s="675">
        <v>3574560</v>
      </c>
      <c r="E32" s="680"/>
      <c r="F32" s="680"/>
      <c r="G32" s="680"/>
      <c r="H32" s="680"/>
      <c r="I32" s="680"/>
      <c r="J32" s="680"/>
      <c r="K32" s="677">
        <v>0</v>
      </c>
      <c r="L32" s="680"/>
      <c r="M32" s="680">
        <f t="shared" si="8"/>
        <v>0</v>
      </c>
      <c r="N32" s="672"/>
    </row>
    <row r="33" spans="1:14" ht="15.75" thickBot="1">
      <c r="A33" s="131"/>
      <c r="B33" s="673"/>
      <c r="C33" s="674" t="s">
        <v>128</v>
      </c>
      <c r="D33" s="675">
        <f>D30+D32</f>
        <v>14551747152.52</v>
      </c>
      <c r="E33" s="675">
        <f>E22+E25</f>
        <v>100</v>
      </c>
      <c r="F33" s="675">
        <f t="shared" ref="F33:M33" si="9">F30+F32</f>
        <v>28853758000</v>
      </c>
      <c r="G33" s="675">
        <f>G30</f>
        <v>100</v>
      </c>
      <c r="H33" s="681">
        <f>H30+H32</f>
        <v>18074254823</v>
      </c>
      <c r="I33" s="675">
        <f>I22+I25</f>
        <v>100</v>
      </c>
      <c r="J33" s="675">
        <f t="shared" si="9"/>
        <v>-8414122972.450325</v>
      </c>
      <c r="K33" s="677">
        <f t="shared" si="9"/>
        <v>17381334539.130001</v>
      </c>
      <c r="L33" s="675">
        <f>L22+L25</f>
        <v>100</v>
      </c>
      <c r="M33" s="675">
        <f t="shared" si="9"/>
        <v>692920283.86999989</v>
      </c>
      <c r="N33" s="678">
        <f t="shared" si="2"/>
        <v>96.166258080038574</v>
      </c>
    </row>
    <row r="34" spans="1:14" ht="15.75" thickTop="1">
      <c r="A34" s="131"/>
      <c r="B34" s="1088" t="s">
        <v>129</v>
      </c>
      <c r="C34" s="1089"/>
      <c r="D34" s="682"/>
      <c r="E34" s="683"/>
      <c r="F34" s="682"/>
      <c r="G34" s="683"/>
      <c r="H34" s="682"/>
      <c r="I34" s="683"/>
      <c r="J34" s="684"/>
      <c r="K34" s="685"/>
      <c r="L34" s="683"/>
      <c r="M34" s="682"/>
      <c r="N34" s="686"/>
    </row>
    <row r="35" spans="1:14">
      <c r="A35" s="131"/>
      <c r="B35" s="687" t="s">
        <v>33</v>
      </c>
      <c r="C35" s="659" t="s">
        <v>26</v>
      </c>
      <c r="D35" s="688"/>
      <c r="E35" s="689"/>
      <c r="F35" s="688"/>
      <c r="G35" s="689"/>
      <c r="H35" s="688"/>
      <c r="I35" s="689"/>
      <c r="J35" s="690"/>
      <c r="K35" s="691"/>
      <c r="L35" s="689"/>
      <c r="M35" s="688"/>
      <c r="N35" s="692"/>
    </row>
    <row r="36" spans="1:14">
      <c r="A36" s="131"/>
      <c r="B36" s="661"/>
      <c r="C36" s="679" t="s">
        <v>130</v>
      </c>
      <c r="D36" s="675">
        <f>D38+D39+D40+D41+D42</f>
        <v>7265778000.9799995</v>
      </c>
      <c r="E36" s="675">
        <f>D36/D106*100</f>
        <v>49.926970982606036</v>
      </c>
      <c r="F36" s="675">
        <f t="shared" ref="F36:N36" si="10">F38+F39+F40+F41+F42</f>
        <v>7452258000</v>
      </c>
      <c r="G36" s="675">
        <f>F36/F106*100</f>
        <v>39.950437868873394</v>
      </c>
      <c r="H36" s="675">
        <f>H38+H39+H40+H41+H42</f>
        <v>9238134823</v>
      </c>
      <c r="I36" s="675">
        <f>H36/H106*100</f>
        <v>51.112120048480293</v>
      </c>
      <c r="J36" s="675">
        <f t="shared" si="10"/>
        <v>1785876823</v>
      </c>
      <c r="K36" s="677">
        <f t="shared" si="10"/>
        <v>9155672354</v>
      </c>
      <c r="L36" s="675">
        <f>K36/K106*100</f>
        <v>52.675311499375624</v>
      </c>
      <c r="M36" s="675">
        <f t="shared" si="10"/>
        <v>82462469</v>
      </c>
      <c r="N36" s="693" t="e">
        <f t="shared" si="10"/>
        <v>#DIV/0!</v>
      </c>
    </row>
    <row r="37" spans="1:14">
      <c r="A37" s="131"/>
      <c r="B37" s="661" t="s">
        <v>131</v>
      </c>
      <c r="C37" s="694" t="s">
        <v>132</v>
      </c>
      <c r="D37" s="668"/>
      <c r="E37" s="670"/>
      <c r="F37" s="670"/>
      <c r="G37" s="670"/>
      <c r="H37" s="670"/>
      <c r="I37" s="670"/>
      <c r="J37" s="670"/>
      <c r="K37" s="671"/>
      <c r="L37" s="670"/>
      <c r="M37" s="670"/>
      <c r="N37" s="672"/>
    </row>
    <row r="38" spans="1:14">
      <c r="A38" s="131"/>
      <c r="B38" s="661" t="s">
        <v>268</v>
      </c>
      <c r="C38" s="694" t="s">
        <v>269</v>
      </c>
      <c r="D38" s="668">
        <v>1064400</v>
      </c>
      <c r="E38" s="669">
        <f>D38/D36*100</f>
        <v>1.4649497959563792E-2</v>
      </c>
      <c r="F38" s="670">
        <v>0</v>
      </c>
      <c r="G38" s="669">
        <f>F38/F36*100</f>
        <v>0</v>
      </c>
      <c r="H38" s="670">
        <v>0</v>
      </c>
      <c r="I38" s="669">
        <f>H38/H36*100</f>
        <v>0</v>
      </c>
      <c r="J38" s="670">
        <f>H38-F38</f>
        <v>0</v>
      </c>
      <c r="K38" s="671">
        <v>0</v>
      </c>
      <c r="L38" s="669">
        <f>K38/K36*100</f>
        <v>0</v>
      </c>
      <c r="M38" s="670">
        <f t="shared" ref="M38:M42" si="11">H38-K38</f>
        <v>0</v>
      </c>
      <c r="N38" s="695" t="e">
        <f>K38*100/H38</f>
        <v>#DIV/0!</v>
      </c>
    </row>
    <row r="39" spans="1:14">
      <c r="A39" s="131"/>
      <c r="B39" s="661" t="s">
        <v>268</v>
      </c>
      <c r="C39" s="694" t="s">
        <v>269</v>
      </c>
      <c r="D39" s="668">
        <v>3162144241</v>
      </c>
      <c r="E39" s="669">
        <f>D39/D36*100</f>
        <v>43.521068777128811</v>
      </c>
      <c r="F39" s="670">
        <v>3737258000</v>
      </c>
      <c r="G39" s="669">
        <f>F39/F36*100</f>
        <v>50.149337288107844</v>
      </c>
      <c r="H39" s="670">
        <v>4243651300</v>
      </c>
      <c r="I39" s="669">
        <f>H39/H36*100</f>
        <v>45.936234762829677</v>
      </c>
      <c r="J39" s="670">
        <f t="shared" ref="J39:J42" si="12">H39-F39</f>
        <v>506393300</v>
      </c>
      <c r="K39" s="671">
        <v>4228517542</v>
      </c>
      <c r="L39" s="669">
        <f>K39/K36*100</f>
        <v>46.18467523199007</v>
      </c>
      <c r="M39" s="670">
        <f t="shared" si="11"/>
        <v>15133758</v>
      </c>
      <c r="N39" s="672">
        <f>K39*100/H39</f>
        <v>99.643378851603572</v>
      </c>
    </row>
    <row r="40" spans="1:14" ht="24" customHeight="1">
      <c r="A40" s="131"/>
      <c r="B40" s="661" t="s">
        <v>271</v>
      </c>
      <c r="C40" s="694" t="s">
        <v>272</v>
      </c>
      <c r="D40" s="668">
        <v>1069376646.13</v>
      </c>
      <c r="E40" s="669">
        <f>D40/D36*100</f>
        <v>14.71799229188896</v>
      </c>
      <c r="F40" s="670">
        <v>1250000000</v>
      </c>
      <c r="G40" s="669">
        <f>F40/F36*100</f>
        <v>16.773439674257119</v>
      </c>
      <c r="H40" s="670">
        <v>1490000000</v>
      </c>
      <c r="I40" s="669">
        <f>H40/H36*100</f>
        <v>16.128796868068832</v>
      </c>
      <c r="J40" s="670">
        <f t="shared" si="12"/>
        <v>240000000</v>
      </c>
      <c r="K40" s="671">
        <v>1489313785</v>
      </c>
      <c r="L40" s="669">
        <f>K40/K36*100</f>
        <v>16.266569263472359</v>
      </c>
      <c r="M40" s="670">
        <f t="shared" si="11"/>
        <v>686215</v>
      </c>
      <c r="N40" s="672">
        <f>K40*100/H39</f>
        <v>35.095102771521304</v>
      </c>
    </row>
    <row r="41" spans="1:14">
      <c r="A41" s="131"/>
      <c r="B41" s="661" t="s">
        <v>290</v>
      </c>
      <c r="C41" s="694" t="s">
        <v>291</v>
      </c>
      <c r="D41" s="668">
        <v>1264839883</v>
      </c>
      <c r="E41" s="669">
        <f>D41/D36*100</f>
        <v>17.408182342336907</v>
      </c>
      <c r="F41" s="670">
        <v>1155000000</v>
      </c>
      <c r="G41" s="669">
        <f>F41/F36*100</f>
        <v>15.498658259013576</v>
      </c>
      <c r="H41" s="670">
        <v>1603853570</v>
      </c>
      <c r="I41" s="669">
        <f>H41/H36*100</f>
        <v>17.36122713869598</v>
      </c>
      <c r="J41" s="670">
        <f t="shared" si="12"/>
        <v>448853570</v>
      </c>
      <c r="K41" s="671">
        <v>1593260213</v>
      </c>
      <c r="L41" s="669">
        <f>K41/K36*100</f>
        <v>17.401891979062842</v>
      </c>
      <c r="M41" s="670">
        <f t="shared" si="11"/>
        <v>10593357</v>
      </c>
      <c r="N41" s="672">
        <f>K41*100/H39</f>
        <v>37.544560105586434</v>
      </c>
    </row>
    <row r="42" spans="1:14">
      <c r="A42" s="131"/>
      <c r="B42" s="661" t="s">
        <v>233</v>
      </c>
      <c r="C42" s="694" t="s">
        <v>234</v>
      </c>
      <c r="D42" s="668">
        <v>1768352830.8499999</v>
      </c>
      <c r="E42" s="669">
        <f>D42/D36*100</f>
        <v>24.338107090685767</v>
      </c>
      <c r="F42" s="670">
        <v>1310000000</v>
      </c>
      <c r="G42" s="669">
        <f>F42/F36*100</f>
        <v>17.578564778621459</v>
      </c>
      <c r="H42" s="670">
        <v>1900629953</v>
      </c>
      <c r="I42" s="669">
        <f>H42/H36*100</f>
        <v>20.57374123040551</v>
      </c>
      <c r="J42" s="670">
        <f t="shared" si="12"/>
        <v>590629953</v>
      </c>
      <c r="K42" s="671">
        <v>1844580814</v>
      </c>
      <c r="L42" s="669">
        <f>K42/K36*100</f>
        <v>20.146863525474735</v>
      </c>
      <c r="M42" s="670">
        <f t="shared" si="11"/>
        <v>56049139</v>
      </c>
      <c r="N42" s="672">
        <f>K42*100/H39</f>
        <v>43.466832772051745</v>
      </c>
    </row>
    <row r="43" spans="1:14">
      <c r="A43" s="131"/>
      <c r="B43" s="661"/>
      <c r="C43" s="679" t="s">
        <v>133</v>
      </c>
      <c r="D43" s="675">
        <f>D45+D46+D47+D48+D50+D51+D52+D53+D54+D55+D56+D57+D58+D59+D60+D61+D62+D63+D64+D65+D66+D67+D68+D69+D70+D71+D72+D73+D74+D75+D76+D77+D78+D79+D80+D81+D83+D84+D85+D86+D87+D88</f>
        <v>7283458991.5400009</v>
      </c>
      <c r="E43" s="675">
        <f>D43/D106*100</f>
        <v>50.048466341054073</v>
      </c>
      <c r="F43" s="675">
        <f>F45+F46+F47+F48+F50+F51+F52+F53+F54+F55+F56+F57+F58+F59+F60+F61+F62+F63+F64+F65+F66+F67+F68+F69+F70+F71+F72+F73+F74+F75+F76+F77+F78+F79+F80+F81+F83+F84+F85+F86+F87+F88+F89+F90+F91+F92+F93+F94</f>
        <v>11201500000</v>
      </c>
      <c r="G43" s="675">
        <f>F43/F106*100</f>
        <v>60.049562131126613</v>
      </c>
      <c r="H43" s="675">
        <f>H45+H46+H47+H48+H49+H50+H51+H52+H53+H54+H55+H56+H57+H58+H59+H60+H61+H62+H63+H64+H65+H66+H67+H68+H69+H70+H71+H72+H73+H74+H75+H76+H77+H78+H79+H80+H81+H82+H83+H84+H85+H86+H87+H88+H89+H90+H91+H92+H93+H94</f>
        <v>8836120000</v>
      </c>
      <c r="I43" s="675">
        <f>H43/H106*100</f>
        <v>48.8878799515197</v>
      </c>
      <c r="J43" s="675">
        <f t="shared" ref="J43" si="13">J45+J46+J47+J48+J49+J50+J51+J52+J53+J54+J55+J56+J57+J58+J59+J60+J61+J62+J63+J64+J65+J66+J67+J68+J69+J70+J71+J72+J73+J74+J75+J76+J77+J78+J79+J80+J81+J82+J83+J84+J85+J86+J87+J88+J89+J90+J91+J92+J93+J94</f>
        <v>-2365380000</v>
      </c>
      <c r="K43" s="677">
        <f>K45+K46+K47+K48+K49+K50+K51+K52+K53+K54+K55+K56+K57+K58+K59+K60+K61+K62+K63+K64+K65+K66+K67+K68+K69+K70+K71+K72+K73+K74+K75+K76+K77+K78+K79+K80+K81+K82+K83+K84+K85+K86+K87+K88+K89+K90+K91+K92+K93+K94</f>
        <v>8225628646</v>
      </c>
      <c r="L43" s="675">
        <f>K43/K106*100</f>
        <v>47.324492888492166</v>
      </c>
      <c r="M43" s="675">
        <f t="shared" ref="M43" si="14">M45+M46+M47+M48+M49+M50+M51+M52+M53+M54+M55+M56+M57+M58+M59+M60+M61+M62+M63+M64+M65+M66+M67+M68+M69+M70+M71+M72+M73+M74+M75+M76+M77+M78+M79+M80+M81+M83+M84+M85+M86+M87+M88+M89+M90+M91+M92+M93+M94</f>
        <v>610491354</v>
      </c>
      <c r="N43" s="693" t="e">
        <f t="shared" ref="N43" si="15">N45+N46+N47+N48+N50+N51+N52+N53+N54+N55+N56+N57+N58+N59+N60+N61+N62+N63+N64+N65+N66+N67+N68+N69+N70+N71+N72+N73+N74+N75+N76+N77+N78+N79+N80+N81+N83+N84+N85+N86+N87+N88</f>
        <v>#DIV/0!</v>
      </c>
    </row>
    <row r="44" spans="1:14">
      <c r="A44" s="131"/>
      <c r="B44" s="661" t="s">
        <v>131</v>
      </c>
      <c r="C44" s="694" t="s">
        <v>132</v>
      </c>
      <c r="D44" s="668"/>
      <c r="E44" s="670"/>
      <c r="F44" s="670"/>
      <c r="G44" s="670"/>
      <c r="H44" s="670"/>
      <c r="I44" s="670"/>
      <c r="J44" s="670"/>
      <c r="K44" s="671"/>
      <c r="L44" s="670"/>
      <c r="M44" s="670"/>
      <c r="N44" s="672"/>
    </row>
    <row r="45" spans="1:14" ht="20.25" customHeight="1">
      <c r="A45" s="131"/>
      <c r="B45" s="661" t="s">
        <v>276</v>
      </c>
      <c r="C45" s="694" t="s">
        <v>312</v>
      </c>
      <c r="D45" s="663">
        <v>454073820</v>
      </c>
      <c r="E45" s="664">
        <f>D45/D43*100</f>
        <v>6.2343155982263792</v>
      </c>
      <c r="F45" s="665">
        <v>1321300000</v>
      </c>
      <c r="G45" s="664">
        <f>F45/F43*100</f>
        <v>11.795741641744408</v>
      </c>
      <c r="H45" s="665">
        <v>904640000</v>
      </c>
      <c r="I45" s="664">
        <f>H45/H43*100</f>
        <v>10.237977754942214</v>
      </c>
      <c r="J45" s="665">
        <f t="shared" ref="J45:J94" si="16">H45-F45</f>
        <v>-416660000</v>
      </c>
      <c r="K45" s="666">
        <v>662456183</v>
      </c>
      <c r="L45" s="664">
        <f>K45/K43*100</f>
        <v>8.0535629738420358</v>
      </c>
      <c r="M45" s="665">
        <f t="shared" ref="M45:M102" si="17">H45-K45</f>
        <v>242183817</v>
      </c>
      <c r="N45" s="667">
        <f t="shared" ref="N45:N94" si="18">K45/H45*100</f>
        <v>73.228707883799089</v>
      </c>
    </row>
    <row r="46" spans="1:14" ht="24" customHeight="1">
      <c r="A46" s="131"/>
      <c r="B46" s="661" t="s">
        <v>277</v>
      </c>
      <c r="C46" s="694" t="s">
        <v>313</v>
      </c>
      <c r="D46" s="663">
        <v>0</v>
      </c>
      <c r="E46" s="664">
        <f>D46/D43*100</f>
        <v>0</v>
      </c>
      <c r="F46" s="665">
        <v>70000000</v>
      </c>
      <c r="G46" s="664">
        <f>F46/F43*100</f>
        <v>0.62491630585189484</v>
      </c>
      <c r="H46" s="665">
        <v>70000000</v>
      </c>
      <c r="I46" s="664">
        <f>H46/H43*100</f>
        <v>0.79220291259059405</v>
      </c>
      <c r="J46" s="665">
        <f t="shared" si="16"/>
        <v>0</v>
      </c>
      <c r="K46" s="666">
        <v>69999960</v>
      </c>
      <c r="L46" s="664">
        <f>K46/K43*100</f>
        <v>0.85099830070787275</v>
      </c>
      <c r="M46" s="665">
        <f t="shared" si="17"/>
        <v>40</v>
      </c>
      <c r="N46" s="667">
        <f t="shared" si="18"/>
        <v>99.999942857142855</v>
      </c>
    </row>
    <row r="47" spans="1:14">
      <c r="A47" s="131"/>
      <c r="B47" s="661" t="s">
        <v>279</v>
      </c>
      <c r="C47" s="694" t="s">
        <v>280</v>
      </c>
      <c r="D47" s="663">
        <v>52680395</v>
      </c>
      <c r="E47" s="664">
        <f>D47/D43*100</f>
        <v>0.72328813907224809</v>
      </c>
      <c r="F47" s="665">
        <v>108350000</v>
      </c>
      <c r="G47" s="664">
        <f>F47/F43*100</f>
        <v>0.96728116770075434</v>
      </c>
      <c r="H47" s="665">
        <v>108350000</v>
      </c>
      <c r="I47" s="664">
        <f>H47/H43*100</f>
        <v>1.2262169368455837</v>
      </c>
      <c r="J47" s="665">
        <f t="shared" si="16"/>
        <v>0</v>
      </c>
      <c r="K47" s="666">
        <v>108197799</v>
      </c>
      <c r="L47" s="664">
        <f>K47/K43*100</f>
        <v>1.3153742243471565</v>
      </c>
      <c r="M47" s="665">
        <f t="shared" si="17"/>
        <v>152201</v>
      </c>
      <c r="N47" s="667">
        <f t="shared" si="18"/>
        <v>99.859528380249202</v>
      </c>
    </row>
    <row r="48" spans="1:14">
      <c r="A48" s="131"/>
      <c r="B48" s="661" t="s">
        <v>314</v>
      </c>
      <c r="C48" s="694" t="s">
        <v>315</v>
      </c>
      <c r="D48" s="663">
        <v>20775167</v>
      </c>
      <c r="E48" s="664">
        <f>D48/D43*100</f>
        <v>0.28523764634538484</v>
      </c>
      <c r="F48" s="665">
        <v>0</v>
      </c>
      <c r="G48" s="664">
        <f>F48/F43*100</f>
        <v>0</v>
      </c>
      <c r="H48" s="665">
        <v>0</v>
      </c>
      <c r="I48" s="664">
        <f>H48/H43*100</f>
        <v>0</v>
      </c>
      <c r="J48" s="665">
        <f t="shared" si="16"/>
        <v>0</v>
      </c>
      <c r="K48" s="666">
        <v>0</v>
      </c>
      <c r="L48" s="664">
        <f>K48/K43*100</f>
        <v>0</v>
      </c>
      <c r="M48" s="665">
        <f t="shared" si="17"/>
        <v>0</v>
      </c>
      <c r="N48" s="667" t="e">
        <f t="shared" si="18"/>
        <v>#DIV/0!</v>
      </c>
    </row>
    <row r="49" spans="1:14">
      <c r="A49" s="131"/>
      <c r="B49" s="661" t="s">
        <v>286</v>
      </c>
      <c r="C49" s="694" t="s">
        <v>316</v>
      </c>
      <c r="D49" s="663">
        <v>0</v>
      </c>
      <c r="E49" s="664">
        <f>D49/D43*100</f>
        <v>0</v>
      </c>
      <c r="F49" s="665">
        <v>0</v>
      </c>
      <c r="G49" s="664">
        <f>F49/F43*100</f>
        <v>0</v>
      </c>
      <c r="H49" s="665">
        <v>502060000</v>
      </c>
      <c r="I49" s="664">
        <f>H49/H43*100</f>
        <v>5.6819056327890518</v>
      </c>
      <c r="J49" s="665">
        <f t="shared" si="16"/>
        <v>502060000</v>
      </c>
      <c r="K49" s="666">
        <v>502060000</v>
      </c>
      <c r="L49" s="664">
        <f>K49/K43*100</f>
        <v>6.1036064428236045</v>
      </c>
      <c r="M49" s="665">
        <f t="shared" si="17"/>
        <v>0</v>
      </c>
      <c r="N49" s="667">
        <f t="shared" si="18"/>
        <v>100</v>
      </c>
    </row>
    <row r="50" spans="1:14" ht="17.25" customHeight="1">
      <c r="A50" s="131"/>
      <c r="B50" s="661" t="s">
        <v>254</v>
      </c>
      <c r="C50" s="694" t="s">
        <v>317</v>
      </c>
      <c r="D50" s="663">
        <v>0</v>
      </c>
      <c r="E50" s="664">
        <f>D50/D43*100</f>
        <v>0</v>
      </c>
      <c r="F50" s="665">
        <v>0</v>
      </c>
      <c r="G50" s="664">
        <f>F50/F43*100</f>
        <v>0</v>
      </c>
      <c r="H50" s="665">
        <v>150000000</v>
      </c>
      <c r="I50" s="664">
        <f>H50/H43*100</f>
        <v>1.6975776698369873</v>
      </c>
      <c r="J50" s="665">
        <f t="shared" si="16"/>
        <v>150000000</v>
      </c>
      <c r="K50" s="666">
        <v>150000000</v>
      </c>
      <c r="L50" s="664">
        <f>K50/K43*100</f>
        <v>1.8235688292704868</v>
      </c>
      <c r="M50" s="665">
        <f t="shared" si="17"/>
        <v>0</v>
      </c>
      <c r="N50" s="667">
        <f t="shared" si="18"/>
        <v>100</v>
      </c>
    </row>
    <row r="51" spans="1:14" ht="21" customHeight="1">
      <c r="A51" s="131"/>
      <c r="B51" s="661" t="s">
        <v>282</v>
      </c>
      <c r="C51" s="694" t="s">
        <v>318</v>
      </c>
      <c r="D51" s="663">
        <v>0</v>
      </c>
      <c r="E51" s="664">
        <f>D51/D43*100</f>
        <v>0</v>
      </c>
      <c r="F51" s="665">
        <v>30000000</v>
      </c>
      <c r="G51" s="664">
        <f>F51/F43*100</f>
        <v>0.26782127393652638</v>
      </c>
      <c r="H51" s="665">
        <v>30000000</v>
      </c>
      <c r="I51" s="664">
        <f>H51/H43*100</f>
        <v>0.33951553396739748</v>
      </c>
      <c r="J51" s="665">
        <f t="shared" si="16"/>
        <v>0</v>
      </c>
      <c r="K51" s="666">
        <v>0</v>
      </c>
      <c r="L51" s="664">
        <f>K51/K43*100</f>
        <v>0</v>
      </c>
      <c r="M51" s="665">
        <f t="shared" si="17"/>
        <v>30000000</v>
      </c>
      <c r="N51" s="667">
        <f t="shared" si="18"/>
        <v>0</v>
      </c>
    </row>
    <row r="52" spans="1:14" ht="21.75" customHeight="1">
      <c r="A52" s="131"/>
      <c r="B52" s="661" t="s">
        <v>319</v>
      </c>
      <c r="C52" s="694" t="s">
        <v>320</v>
      </c>
      <c r="D52" s="663">
        <v>0</v>
      </c>
      <c r="E52" s="664">
        <f>D52/D43*100</f>
        <v>0</v>
      </c>
      <c r="F52" s="665">
        <v>0</v>
      </c>
      <c r="G52" s="664">
        <f>F52/F43*100</f>
        <v>0</v>
      </c>
      <c r="H52" s="665">
        <v>0</v>
      </c>
      <c r="I52" s="664">
        <f>H52/H43*100</f>
        <v>0</v>
      </c>
      <c r="J52" s="665">
        <f t="shared" si="16"/>
        <v>0</v>
      </c>
      <c r="K52" s="666">
        <v>0</v>
      </c>
      <c r="L52" s="664">
        <f>K52/K43*100</f>
        <v>0</v>
      </c>
      <c r="M52" s="665">
        <f t="shared" si="17"/>
        <v>0</v>
      </c>
      <c r="N52" s="667" t="e">
        <f t="shared" si="18"/>
        <v>#DIV/0!</v>
      </c>
    </row>
    <row r="53" spans="1:14">
      <c r="A53" s="131"/>
      <c r="B53" s="661" t="s">
        <v>321</v>
      </c>
      <c r="C53" s="694" t="s">
        <v>322</v>
      </c>
      <c r="D53" s="663">
        <v>0</v>
      </c>
      <c r="E53" s="664">
        <f>D53/D43*100</f>
        <v>0</v>
      </c>
      <c r="F53" s="665">
        <v>0</v>
      </c>
      <c r="G53" s="664">
        <f>F53/F43*100</f>
        <v>0</v>
      </c>
      <c r="H53" s="665">
        <v>0</v>
      </c>
      <c r="I53" s="664">
        <f>H53/H43*100</f>
        <v>0</v>
      </c>
      <c r="J53" s="665">
        <f t="shared" si="16"/>
        <v>0</v>
      </c>
      <c r="K53" s="666">
        <v>0</v>
      </c>
      <c r="L53" s="664">
        <f>K53/K43*100</f>
        <v>0</v>
      </c>
      <c r="M53" s="665">
        <f t="shared" si="17"/>
        <v>0</v>
      </c>
      <c r="N53" s="667" t="e">
        <f t="shared" si="18"/>
        <v>#DIV/0!</v>
      </c>
    </row>
    <row r="54" spans="1:14" ht="24" customHeight="1">
      <c r="A54" s="131"/>
      <c r="B54" s="661" t="s">
        <v>293</v>
      </c>
      <c r="C54" s="694" t="s">
        <v>294</v>
      </c>
      <c r="D54" s="663">
        <v>0</v>
      </c>
      <c r="E54" s="664">
        <f>D54/D43*100</f>
        <v>0</v>
      </c>
      <c r="F54" s="665">
        <v>4500000</v>
      </c>
      <c r="G54" s="664">
        <f>F54/F43*100</f>
        <v>4.0173191090478955E-2</v>
      </c>
      <c r="H54" s="665">
        <v>0</v>
      </c>
      <c r="I54" s="664">
        <f>H54/H43*100</f>
        <v>0</v>
      </c>
      <c r="J54" s="665">
        <f t="shared" si="16"/>
        <v>-4500000</v>
      </c>
      <c r="K54" s="666">
        <v>0</v>
      </c>
      <c r="L54" s="664">
        <f>K54/K43*100</f>
        <v>0</v>
      </c>
      <c r="M54" s="665">
        <f t="shared" si="17"/>
        <v>0</v>
      </c>
      <c r="N54" s="667" t="e">
        <f t="shared" si="18"/>
        <v>#DIV/0!</v>
      </c>
    </row>
    <row r="55" spans="1:14" ht="19.5" customHeight="1">
      <c r="A55" s="131"/>
      <c r="B55" s="661" t="s">
        <v>323</v>
      </c>
      <c r="C55" s="694" t="s">
        <v>324</v>
      </c>
      <c r="D55" s="663">
        <v>5842093</v>
      </c>
      <c r="E55" s="664">
        <f>D55/D43*100</f>
        <v>8.0210419345887726E-2</v>
      </c>
      <c r="F55" s="665">
        <v>0</v>
      </c>
      <c r="G55" s="664">
        <f>F55/F43*100</f>
        <v>0</v>
      </c>
      <c r="H55" s="665">
        <v>0</v>
      </c>
      <c r="I55" s="664">
        <f>H55/H43*100</f>
        <v>0</v>
      </c>
      <c r="J55" s="665">
        <f t="shared" si="16"/>
        <v>0</v>
      </c>
      <c r="K55" s="666">
        <v>0</v>
      </c>
      <c r="L55" s="664">
        <f>K55/K43*100</f>
        <v>0</v>
      </c>
      <c r="M55" s="665">
        <f t="shared" si="17"/>
        <v>0</v>
      </c>
      <c r="N55" s="667" t="e">
        <f t="shared" si="18"/>
        <v>#DIV/0!</v>
      </c>
    </row>
    <row r="56" spans="1:14" ht="15.75" customHeight="1">
      <c r="A56" s="131"/>
      <c r="B56" s="661" t="s">
        <v>325</v>
      </c>
      <c r="C56" s="694" t="s">
        <v>326</v>
      </c>
      <c r="D56" s="663">
        <v>82558454</v>
      </c>
      <c r="E56" s="664">
        <f>D56/D43*100</f>
        <v>1.1335061280072369</v>
      </c>
      <c r="F56" s="665">
        <v>0</v>
      </c>
      <c r="G56" s="664">
        <f>F56/F43*100</f>
        <v>0</v>
      </c>
      <c r="H56" s="665">
        <v>0</v>
      </c>
      <c r="I56" s="664">
        <f>H56/H43*100</f>
        <v>0</v>
      </c>
      <c r="J56" s="665">
        <f t="shared" si="16"/>
        <v>0</v>
      </c>
      <c r="K56" s="666">
        <v>0</v>
      </c>
      <c r="L56" s="664">
        <f>K56/K43*100</f>
        <v>0</v>
      </c>
      <c r="M56" s="665">
        <f t="shared" si="17"/>
        <v>0</v>
      </c>
      <c r="N56" s="667" t="e">
        <f t="shared" si="18"/>
        <v>#DIV/0!</v>
      </c>
    </row>
    <row r="57" spans="1:14" ht="18" customHeight="1">
      <c r="A57" s="131"/>
      <c r="B57" s="661" t="s">
        <v>304</v>
      </c>
      <c r="C57" s="694" t="s">
        <v>305</v>
      </c>
      <c r="D57" s="663">
        <v>0</v>
      </c>
      <c r="E57" s="664">
        <f>D57/D43*100</f>
        <v>0</v>
      </c>
      <c r="F57" s="665">
        <v>12804000</v>
      </c>
      <c r="G57" s="664">
        <f>F57/F43*100</f>
        <v>0.11430611971610945</v>
      </c>
      <c r="H57" s="665">
        <v>0</v>
      </c>
      <c r="I57" s="664">
        <f>H57/H43*100</f>
        <v>0</v>
      </c>
      <c r="J57" s="665">
        <f t="shared" si="16"/>
        <v>-12804000</v>
      </c>
      <c r="K57" s="666">
        <v>0</v>
      </c>
      <c r="L57" s="664">
        <f>K57/K43*100</f>
        <v>0</v>
      </c>
      <c r="M57" s="665">
        <f t="shared" si="17"/>
        <v>0</v>
      </c>
      <c r="N57" s="667" t="e">
        <f t="shared" si="18"/>
        <v>#DIV/0!</v>
      </c>
    </row>
    <row r="58" spans="1:14" ht="19.5" customHeight="1">
      <c r="A58" s="131"/>
      <c r="B58" s="661" t="s">
        <v>327</v>
      </c>
      <c r="C58" s="694" t="s">
        <v>328</v>
      </c>
      <c r="D58" s="663">
        <v>13660412</v>
      </c>
      <c r="E58" s="664">
        <f>D58/D43*100</f>
        <v>0.18755390832662144</v>
      </c>
      <c r="F58" s="665">
        <v>0</v>
      </c>
      <c r="G58" s="664">
        <f>F58/F43*100</f>
        <v>0</v>
      </c>
      <c r="H58" s="665">
        <v>0</v>
      </c>
      <c r="I58" s="664">
        <f>H58/H43*100</f>
        <v>0</v>
      </c>
      <c r="J58" s="665">
        <f t="shared" si="16"/>
        <v>0</v>
      </c>
      <c r="K58" s="666">
        <v>0</v>
      </c>
      <c r="L58" s="664">
        <f>K58/K43*100</f>
        <v>0</v>
      </c>
      <c r="M58" s="665">
        <f t="shared" si="17"/>
        <v>0</v>
      </c>
      <c r="N58" s="667" t="e">
        <f t="shared" si="18"/>
        <v>#DIV/0!</v>
      </c>
    </row>
    <row r="59" spans="1:14" ht="19.5" customHeight="1">
      <c r="A59" s="131"/>
      <c r="B59" s="661" t="s">
        <v>299</v>
      </c>
      <c r="C59" s="694" t="s">
        <v>300</v>
      </c>
      <c r="D59" s="663">
        <v>0</v>
      </c>
      <c r="E59" s="664">
        <f>D59/D43*100</f>
        <v>0</v>
      </c>
      <c r="F59" s="665">
        <v>16000000</v>
      </c>
      <c r="G59" s="664">
        <f>F59/F43*100</f>
        <v>0.14283801276614741</v>
      </c>
      <c r="H59" s="670">
        <v>0</v>
      </c>
      <c r="I59" s="664">
        <f>H59/H43*100</f>
        <v>0</v>
      </c>
      <c r="J59" s="665">
        <f t="shared" si="16"/>
        <v>-16000000</v>
      </c>
      <c r="K59" s="666">
        <v>0</v>
      </c>
      <c r="L59" s="664">
        <f>K59/K43*100</f>
        <v>0</v>
      </c>
      <c r="M59" s="665">
        <f t="shared" si="17"/>
        <v>0</v>
      </c>
      <c r="N59" s="667" t="e">
        <f t="shared" si="18"/>
        <v>#DIV/0!</v>
      </c>
    </row>
    <row r="60" spans="1:14">
      <c r="A60" s="131"/>
      <c r="B60" s="661" t="s">
        <v>295</v>
      </c>
      <c r="C60" s="694" t="s">
        <v>329</v>
      </c>
      <c r="D60" s="663">
        <v>0</v>
      </c>
      <c r="E60" s="664">
        <f>D60/D43*100</f>
        <v>0</v>
      </c>
      <c r="F60" s="665">
        <v>28000000</v>
      </c>
      <c r="G60" s="664">
        <f>F60/F43*100</f>
        <v>0.24996652234075792</v>
      </c>
      <c r="H60" s="670">
        <v>0</v>
      </c>
      <c r="I60" s="664">
        <f>H60/H43*100</f>
        <v>0</v>
      </c>
      <c r="J60" s="665">
        <f t="shared" si="16"/>
        <v>-28000000</v>
      </c>
      <c r="K60" s="666">
        <v>0</v>
      </c>
      <c r="L60" s="664">
        <f>K60/K43*100</f>
        <v>0</v>
      </c>
      <c r="M60" s="665">
        <f t="shared" si="17"/>
        <v>0</v>
      </c>
      <c r="N60" s="667" t="e">
        <f t="shared" si="18"/>
        <v>#DIV/0!</v>
      </c>
    </row>
    <row r="61" spans="1:14">
      <c r="A61" s="131"/>
      <c r="B61" s="661" t="s">
        <v>306</v>
      </c>
      <c r="C61" s="694" t="s">
        <v>330</v>
      </c>
      <c r="D61" s="663">
        <v>0</v>
      </c>
      <c r="E61" s="664">
        <f>D61/D43*100</f>
        <v>0</v>
      </c>
      <c r="F61" s="665">
        <v>28000000</v>
      </c>
      <c r="G61" s="664">
        <f>F61/F43*100</f>
        <v>0.24996652234075792</v>
      </c>
      <c r="H61" s="670">
        <v>62211205</v>
      </c>
      <c r="I61" s="664">
        <f>H61/H43*100</f>
        <v>0.7040556828110075</v>
      </c>
      <c r="J61" s="665">
        <f t="shared" si="16"/>
        <v>34211205</v>
      </c>
      <c r="K61" s="666">
        <v>62211205</v>
      </c>
      <c r="L61" s="664">
        <f>K61/K43*100</f>
        <v>0.75630942846237503</v>
      </c>
      <c r="M61" s="665">
        <f t="shared" si="17"/>
        <v>0</v>
      </c>
      <c r="N61" s="667">
        <f t="shared" si="18"/>
        <v>100</v>
      </c>
    </row>
    <row r="62" spans="1:14">
      <c r="A62" s="131"/>
      <c r="B62" s="661" t="s">
        <v>331</v>
      </c>
      <c r="C62" s="694" t="s">
        <v>332</v>
      </c>
      <c r="D62" s="663">
        <v>0</v>
      </c>
      <c r="E62" s="664">
        <f>D62/D43*100</f>
        <v>0</v>
      </c>
      <c r="F62" s="665">
        <v>0</v>
      </c>
      <c r="G62" s="664">
        <f>F62/F43*100</f>
        <v>0</v>
      </c>
      <c r="H62" s="670">
        <v>0</v>
      </c>
      <c r="I62" s="664">
        <f>H62/H43*100</f>
        <v>0</v>
      </c>
      <c r="J62" s="665">
        <f t="shared" si="16"/>
        <v>0</v>
      </c>
      <c r="K62" s="666">
        <v>0</v>
      </c>
      <c r="L62" s="664">
        <f>K62/K43*100</f>
        <v>0</v>
      </c>
      <c r="M62" s="665">
        <f t="shared" si="17"/>
        <v>0</v>
      </c>
      <c r="N62" s="667" t="e">
        <f t="shared" si="18"/>
        <v>#DIV/0!</v>
      </c>
    </row>
    <row r="63" spans="1:14" ht="21.75" customHeight="1">
      <c r="A63" s="131"/>
      <c r="B63" s="661" t="s">
        <v>303</v>
      </c>
      <c r="C63" s="694" t="s">
        <v>333</v>
      </c>
      <c r="D63" s="663">
        <v>0</v>
      </c>
      <c r="E63" s="664">
        <f>D63/D43*100</f>
        <v>0</v>
      </c>
      <c r="F63" s="665">
        <v>27000000</v>
      </c>
      <c r="G63" s="664">
        <f>F63/F43*100</f>
        <v>0.24103914654287373</v>
      </c>
      <c r="H63" s="670">
        <v>712400</v>
      </c>
      <c r="I63" s="664">
        <f>H63/H43*100</f>
        <v>8.0623622132791322E-3</v>
      </c>
      <c r="J63" s="665">
        <f t="shared" si="16"/>
        <v>-26287600</v>
      </c>
      <c r="K63" s="666">
        <v>0</v>
      </c>
      <c r="L63" s="664">
        <f>K63/K43*100</f>
        <v>0</v>
      </c>
      <c r="M63" s="665">
        <f t="shared" si="17"/>
        <v>712400</v>
      </c>
      <c r="N63" s="667">
        <f t="shared" si="18"/>
        <v>0</v>
      </c>
    </row>
    <row r="64" spans="1:14" ht="20.25" customHeight="1">
      <c r="A64" s="131"/>
      <c r="B64" s="661" t="s">
        <v>298</v>
      </c>
      <c r="C64" s="694" t="s">
        <v>334</v>
      </c>
      <c r="D64" s="663">
        <v>0</v>
      </c>
      <c r="E64" s="664">
        <f>D64/D43*100</f>
        <v>0</v>
      </c>
      <c r="F64" s="665">
        <v>20000000</v>
      </c>
      <c r="G64" s="664">
        <f>F64/F43*100</f>
        <v>0.17854751595768423</v>
      </c>
      <c r="H64" s="670">
        <v>0</v>
      </c>
      <c r="I64" s="664">
        <f>H64/H43*100</f>
        <v>0</v>
      </c>
      <c r="J64" s="665">
        <f t="shared" si="16"/>
        <v>-20000000</v>
      </c>
      <c r="K64" s="666">
        <v>0</v>
      </c>
      <c r="L64" s="664">
        <f>K64/K43*100</f>
        <v>0</v>
      </c>
      <c r="M64" s="665">
        <f t="shared" si="17"/>
        <v>0</v>
      </c>
      <c r="N64" s="667" t="e">
        <f t="shared" si="18"/>
        <v>#DIV/0!</v>
      </c>
    </row>
    <row r="65" spans="1:16">
      <c r="A65" s="131"/>
      <c r="B65" s="661" t="s">
        <v>296</v>
      </c>
      <c r="C65" s="694" t="s">
        <v>335</v>
      </c>
      <c r="D65" s="663">
        <v>0</v>
      </c>
      <c r="E65" s="664">
        <f>D65/D43*100</f>
        <v>0</v>
      </c>
      <c r="F65" s="665">
        <v>17080000</v>
      </c>
      <c r="G65" s="664">
        <f>F65/F43*100</f>
        <v>0.15247957862786235</v>
      </c>
      <c r="H65" s="670">
        <v>7080000</v>
      </c>
      <c r="I65" s="664">
        <f>H65/H43*100</f>
        <v>8.0125666016305802E-2</v>
      </c>
      <c r="J65" s="665">
        <f t="shared" si="16"/>
        <v>-10000000</v>
      </c>
      <c r="K65" s="666">
        <v>0</v>
      </c>
      <c r="L65" s="664">
        <f>K65/K43*100</f>
        <v>0</v>
      </c>
      <c r="M65" s="665">
        <f t="shared" si="17"/>
        <v>7080000</v>
      </c>
      <c r="N65" s="667">
        <f t="shared" si="18"/>
        <v>0</v>
      </c>
    </row>
    <row r="66" spans="1:16">
      <c r="A66" s="131"/>
      <c r="B66" s="661" t="s">
        <v>302</v>
      </c>
      <c r="C66" s="694" t="s">
        <v>336</v>
      </c>
      <c r="D66" s="663">
        <v>0</v>
      </c>
      <c r="E66" s="664">
        <f>D66/D43*100</f>
        <v>0</v>
      </c>
      <c r="F66" s="665">
        <v>108000000</v>
      </c>
      <c r="G66" s="664">
        <f>F66/F43*100</f>
        <v>0.96415658617149491</v>
      </c>
      <c r="H66" s="670">
        <v>25999315</v>
      </c>
      <c r="I66" s="664">
        <f>H66/H43*100</f>
        <v>0.29423904383371885</v>
      </c>
      <c r="J66" s="665">
        <f t="shared" si="16"/>
        <v>-82000685</v>
      </c>
      <c r="K66" s="666">
        <v>24702001</v>
      </c>
      <c r="L66" s="664">
        <f>K66/K43*100</f>
        <v>0.30030532696138934</v>
      </c>
      <c r="M66" s="665">
        <f t="shared" si="17"/>
        <v>1297314</v>
      </c>
      <c r="N66" s="667">
        <f t="shared" si="18"/>
        <v>95.010199307174062</v>
      </c>
    </row>
    <row r="67" spans="1:16" ht="18.75" customHeight="1">
      <c r="A67" s="131"/>
      <c r="B67" s="661" t="s">
        <v>308</v>
      </c>
      <c r="C67" s="694" t="s">
        <v>337</v>
      </c>
      <c r="D67" s="663">
        <v>0</v>
      </c>
      <c r="E67" s="664">
        <f>D67/D43*100</f>
        <v>0</v>
      </c>
      <c r="F67" s="665">
        <v>10000000</v>
      </c>
      <c r="G67" s="664">
        <f>F67/F43*100</f>
        <v>8.9273757978842114E-2</v>
      </c>
      <c r="H67" s="670">
        <v>0</v>
      </c>
      <c r="I67" s="664">
        <f>H67/H43*100</f>
        <v>0</v>
      </c>
      <c r="J67" s="665">
        <f t="shared" si="16"/>
        <v>-10000000</v>
      </c>
      <c r="K67" s="666">
        <v>0</v>
      </c>
      <c r="L67" s="664">
        <f>K67/K43*100</f>
        <v>0</v>
      </c>
      <c r="M67" s="665">
        <f t="shared" si="17"/>
        <v>0</v>
      </c>
      <c r="N67" s="667" t="e">
        <f t="shared" si="18"/>
        <v>#DIV/0!</v>
      </c>
    </row>
    <row r="68" spans="1:16" ht="21" customHeight="1">
      <c r="A68" s="131"/>
      <c r="B68" s="661" t="s">
        <v>307</v>
      </c>
      <c r="C68" s="694" t="s">
        <v>338</v>
      </c>
      <c r="D68" s="663">
        <v>0</v>
      </c>
      <c r="E68" s="664">
        <f>D68/D43*100</f>
        <v>0</v>
      </c>
      <c r="F68" s="665">
        <v>147727000</v>
      </c>
      <c r="G68" s="664">
        <f>F68/F43*100</f>
        <v>1.3188144444940411</v>
      </c>
      <c r="H68" s="670">
        <v>0</v>
      </c>
      <c r="I68" s="664">
        <f>H68/H43*100</f>
        <v>0</v>
      </c>
      <c r="J68" s="665">
        <f t="shared" si="16"/>
        <v>-147727000</v>
      </c>
      <c r="K68" s="666">
        <v>0</v>
      </c>
      <c r="L68" s="664">
        <f>K68/K43*100</f>
        <v>0</v>
      </c>
      <c r="M68" s="665">
        <f t="shared" si="17"/>
        <v>0</v>
      </c>
      <c r="N68" s="667" t="e">
        <f t="shared" si="18"/>
        <v>#DIV/0!</v>
      </c>
    </row>
    <row r="69" spans="1:16" ht="18.75" customHeight="1">
      <c r="A69" s="131"/>
      <c r="B69" s="661" t="s">
        <v>309</v>
      </c>
      <c r="C69" s="694" t="s">
        <v>339</v>
      </c>
      <c r="D69" s="663">
        <v>0</v>
      </c>
      <c r="E69" s="664">
        <f>D69/D43*100</f>
        <v>0</v>
      </c>
      <c r="F69" s="665">
        <v>32000000</v>
      </c>
      <c r="G69" s="664">
        <f>F69/F43*100</f>
        <v>0.28567602553229482</v>
      </c>
      <c r="H69" s="670">
        <v>0</v>
      </c>
      <c r="I69" s="664">
        <f>H69/H43*100</f>
        <v>0</v>
      </c>
      <c r="J69" s="665">
        <f t="shared" si="16"/>
        <v>-32000000</v>
      </c>
      <c r="K69" s="666">
        <v>0</v>
      </c>
      <c r="L69" s="664">
        <f>K69/K43*100</f>
        <v>0</v>
      </c>
      <c r="M69" s="665">
        <f t="shared" si="17"/>
        <v>0</v>
      </c>
      <c r="N69" s="667" t="e">
        <f t="shared" si="18"/>
        <v>#DIV/0!</v>
      </c>
    </row>
    <row r="70" spans="1:16" ht="21.75" customHeight="1">
      <c r="A70" s="131"/>
      <c r="B70" s="661" t="s">
        <v>297</v>
      </c>
      <c r="C70" s="694" t="s">
        <v>340</v>
      </c>
      <c r="D70" s="663">
        <v>0</v>
      </c>
      <c r="E70" s="664">
        <f>D70/D43*100</f>
        <v>0</v>
      </c>
      <c r="F70" s="665">
        <v>8000000</v>
      </c>
      <c r="G70" s="664">
        <f>F70/F43*100</f>
        <v>7.1419006383073705E-2</v>
      </c>
      <c r="H70" s="670">
        <v>0</v>
      </c>
      <c r="I70" s="664">
        <f>H70/H43*100</f>
        <v>0</v>
      </c>
      <c r="J70" s="665">
        <f t="shared" si="16"/>
        <v>-8000000</v>
      </c>
      <c r="K70" s="666">
        <v>0</v>
      </c>
      <c r="L70" s="664">
        <f>K70/K43*100</f>
        <v>0</v>
      </c>
      <c r="M70" s="665">
        <f t="shared" si="17"/>
        <v>0</v>
      </c>
      <c r="N70" s="667" t="e">
        <f t="shared" si="18"/>
        <v>#DIV/0!</v>
      </c>
    </row>
    <row r="71" spans="1:16">
      <c r="A71" s="131"/>
      <c r="B71" s="661" t="s">
        <v>238</v>
      </c>
      <c r="C71" s="694" t="s">
        <v>341</v>
      </c>
      <c r="D71" s="663">
        <v>61249357</v>
      </c>
      <c r="E71" s="664">
        <f>D71/D43*100</f>
        <v>0.84093776145569477</v>
      </c>
      <c r="F71" s="665">
        <v>16000000</v>
      </c>
      <c r="G71" s="664">
        <f>F71/F43*100</f>
        <v>0.14283801276614741</v>
      </c>
      <c r="H71" s="670">
        <v>16000000</v>
      </c>
      <c r="I71" s="664">
        <f>H71/H43*100</f>
        <v>0.18107495144927865</v>
      </c>
      <c r="J71" s="670">
        <f t="shared" si="16"/>
        <v>0</v>
      </c>
      <c r="K71" s="671">
        <v>0</v>
      </c>
      <c r="L71" s="664">
        <f>K71/K43*100</f>
        <v>0</v>
      </c>
      <c r="M71" s="665">
        <f t="shared" si="17"/>
        <v>16000000</v>
      </c>
      <c r="N71" s="667">
        <f t="shared" si="18"/>
        <v>0</v>
      </c>
    </row>
    <row r="72" spans="1:16">
      <c r="A72" s="131"/>
      <c r="B72" s="661" t="s">
        <v>242</v>
      </c>
      <c r="C72" s="694" t="s">
        <v>243</v>
      </c>
      <c r="D72" s="663">
        <v>0</v>
      </c>
      <c r="E72" s="664">
        <f>D72/D43*100</f>
        <v>0</v>
      </c>
      <c r="F72" s="665">
        <v>196000000</v>
      </c>
      <c r="G72" s="664">
        <f>F72/F43*100</f>
        <v>1.7497656563853055</v>
      </c>
      <c r="H72" s="670">
        <v>196000000</v>
      </c>
      <c r="I72" s="664">
        <f>H72/H43*100</f>
        <v>2.2181681552536632</v>
      </c>
      <c r="J72" s="670">
        <f t="shared" si="16"/>
        <v>0</v>
      </c>
      <c r="K72" s="671">
        <v>171068245</v>
      </c>
      <c r="L72" s="664">
        <f>K72/K43*100</f>
        <v>2.0796981284000453</v>
      </c>
      <c r="M72" s="665">
        <f t="shared" si="17"/>
        <v>24931755</v>
      </c>
      <c r="N72" s="667">
        <f t="shared" si="18"/>
        <v>87.279716836734693</v>
      </c>
    </row>
    <row r="73" spans="1:16">
      <c r="A73" s="131"/>
      <c r="B73" s="661" t="s">
        <v>240</v>
      </c>
      <c r="C73" s="694" t="s">
        <v>342</v>
      </c>
      <c r="D73" s="663">
        <v>399999998.80000001</v>
      </c>
      <c r="E73" s="664">
        <f>D73/D43*100</f>
        <v>5.4918960793850058</v>
      </c>
      <c r="F73" s="665">
        <v>780182000</v>
      </c>
      <c r="G73" s="664">
        <f>F73/F43*100</f>
        <v>6.9649779047448996</v>
      </c>
      <c r="H73" s="670">
        <v>0</v>
      </c>
      <c r="I73" s="664">
        <f>H73/H43*100</f>
        <v>0</v>
      </c>
      <c r="J73" s="670">
        <f t="shared" si="16"/>
        <v>-780182000</v>
      </c>
      <c r="K73" s="671">
        <v>0</v>
      </c>
      <c r="L73" s="664">
        <f>K73/K43*100</f>
        <v>0</v>
      </c>
      <c r="M73" s="665">
        <f t="shared" si="17"/>
        <v>0</v>
      </c>
      <c r="N73" s="667" t="e">
        <f t="shared" si="18"/>
        <v>#DIV/0!</v>
      </c>
    </row>
    <row r="74" spans="1:16">
      <c r="A74" s="131"/>
      <c r="B74" s="661" t="s">
        <v>250</v>
      </c>
      <c r="C74" s="694" t="s">
        <v>251</v>
      </c>
      <c r="D74" s="663">
        <v>4080251</v>
      </c>
      <c r="E74" s="664">
        <f>D74/D43*100</f>
        <v>5.6020786342579232E-2</v>
      </c>
      <c r="F74" s="665">
        <v>49230000</v>
      </c>
      <c r="G74" s="664">
        <f>F74/F43*100</f>
        <v>0.43949471052983974</v>
      </c>
      <c r="H74" s="670">
        <v>19230000</v>
      </c>
      <c r="I74" s="664">
        <f>H74/H43*100</f>
        <v>0.21762945727310176</v>
      </c>
      <c r="J74" s="670">
        <f t="shared" si="16"/>
        <v>-30000000</v>
      </c>
      <c r="K74" s="671">
        <f>3678170-33751</f>
        <v>3644419</v>
      </c>
      <c r="L74" s="664">
        <f>K74/K43*100</f>
        <v>4.4305659261340787E-2</v>
      </c>
      <c r="M74" s="665">
        <f t="shared" si="17"/>
        <v>15585581</v>
      </c>
      <c r="N74" s="667">
        <f t="shared" si="18"/>
        <v>18.951736869474779</v>
      </c>
    </row>
    <row r="75" spans="1:16">
      <c r="A75" s="131"/>
      <c r="B75" s="661" t="s">
        <v>252</v>
      </c>
      <c r="C75" s="694" t="s">
        <v>343</v>
      </c>
      <c r="D75" s="663">
        <v>64074018</v>
      </c>
      <c r="E75" s="664">
        <f>D75/D43*100</f>
        <v>0.87971962325076958</v>
      </c>
      <c r="F75" s="665">
        <v>400000000</v>
      </c>
      <c r="G75" s="664">
        <f>F75/F43*100</f>
        <v>3.5709503191536847</v>
      </c>
      <c r="H75" s="670">
        <v>65000000</v>
      </c>
      <c r="I75" s="664">
        <f>H75/H43*100</f>
        <v>0.73561699026269445</v>
      </c>
      <c r="J75" s="670">
        <f t="shared" si="16"/>
        <v>-335000000</v>
      </c>
      <c r="K75" s="671">
        <v>49184321</v>
      </c>
      <c r="L75" s="664">
        <f>K75/K43*100</f>
        <v>0.59793996442955877</v>
      </c>
      <c r="M75" s="665">
        <f t="shared" si="17"/>
        <v>15815679</v>
      </c>
      <c r="N75" s="667">
        <f t="shared" si="18"/>
        <v>75.66818615384615</v>
      </c>
    </row>
    <row r="76" spans="1:16" s="335" customFormat="1" ht="19.5" customHeight="1">
      <c r="A76" s="334"/>
      <c r="B76" s="696" t="s">
        <v>253</v>
      </c>
      <c r="C76" s="697" t="s">
        <v>344</v>
      </c>
      <c r="D76" s="668">
        <v>141760950</v>
      </c>
      <c r="E76" s="669">
        <f>D76/D43*100</f>
        <v>1.9463410196262576</v>
      </c>
      <c r="F76" s="670">
        <v>116218000</v>
      </c>
      <c r="G76" s="669">
        <f>F76/F43*100</f>
        <v>1.0375217604785074</v>
      </c>
      <c r="H76" s="670">
        <v>132679000</v>
      </c>
      <c r="I76" s="669">
        <f>H76/H43*100</f>
        <v>1.5015527177086774</v>
      </c>
      <c r="J76" s="670">
        <f t="shared" si="16"/>
        <v>16461000</v>
      </c>
      <c r="K76" s="671">
        <v>129874999</v>
      </c>
      <c r="L76" s="669">
        <f>K76/K43*100</f>
        <v>1.5789066658529045</v>
      </c>
      <c r="M76" s="670">
        <f t="shared" si="17"/>
        <v>2804001</v>
      </c>
      <c r="N76" s="672">
        <f t="shared" si="18"/>
        <v>97.886627876302953</v>
      </c>
      <c r="O76" s="527"/>
      <c r="P76" s="350"/>
    </row>
    <row r="77" spans="1:16">
      <c r="A77" s="131"/>
      <c r="B77" s="661" t="s">
        <v>265</v>
      </c>
      <c r="C77" s="694" t="s">
        <v>345</v>
      </c>
      <c r="D77" s="663">
        <v>0</v>
      </c>
      <c r="E77" s="664">
        <f>D77/D43*100</f>
        <v>0</v>
      </c>
      <c r="F77" s="665">
        <v>0</v>
      </c>
      <c r="G77" s="664">
        <f>F77/F43*100</f>
        <v>0</v>
      </c>
      <c r="H77" s="670">
        <v>0</v>
      </c>
      <c r="I77" s="664">
        <f>H77/H43*100</f>
        <v>0</v>
      </c>
      <c r="J77" s="670">
        <f t="shared" si="16"/>
        <v>0</v>
      </c>
      <c r="K77" s="671">
        <v>0</v>
      </c>
      <c r="L77" s="664">
        <f>K77/K43*100</f>
        <v>0</v>
      </c>
      <c r="M77" s="665">
        <f t="shared" si="17"/>
        <v>0</v>
      </c>
      <c r="N77" s="667" t="e">
        <f t="shared" si="18"/>
        <v>#DIV/0!</v>
      </c>
    </row>
    <row r="78" spans="1:16">
      <c r="A78" s="131"/>
      <c r="B78" s="661" t="s">
        <v>346</v>
      </c>
      <c r="C78" s="694" t="s">
        <v>347</v>
      </c>
      <c r="D78" s="663">
        <v>0</v>
      </c>
      <c r="E78" s="664">
        <f>D78/D43*100</f>
        <v>0</v>
      </c>
      <c r="F78" s="665">
        <v>0</v>
      </c>
      <c r="G78" s="664">
        <f>F78/F43*100</f>
        <v>0</v>
      </c>
      <c r="H78" s="670">
        <v>0</v>
      </c>
      <c r="I78" s="664">
        <f>H78/H43*100</f>
        <v>0</v>
      </c>
      <c r="J78" s="670">
        <f t="shared" si="16"/>
        <v>0</v>
      </c>
      <c r="K78" s="671">
        <v>0</v>
      </c>
      <c r="L78" s="664">
        <f>K78/K43*100</f>
        <v>0</v>
      </c>
      <c r="M78" s="665">
        <f t="shared" si="17"/>
        <v>0</v>
      </c>
      <c r="N78" s="667" t="e">
        <f t="shared" si="18"/>
        <v>#DIV/0!</v>
      </c>
    </row>
    <row r="79" spans="1:16" ht="18.75" customHeight="1">
      <c r="A79" s="131"/>
      <c r="B79" s="661" t="s">
        <v>348</v>
      </c>
      <c r="C79" s="694" t="s">
        <v>349</v>
      </c>
      <c r="D79" s="663">
        <v>0</v>
      </c>
      <c r="E79" s="664">
        <f>D79/D43*100</f>
        <v>0</v>
      </c>
      <c r="F79" s="665">
        <v>0</v>
      </c>
      <c r="G79" s="664">
        <f>F79/F43*100</f>
        <v>0</v>
      </c>
      <c r="H79" s="670">
        <v>0</v>
      </c>
      <c r="I79" s="664">
        <f>H79/H43*100</f>
        <v>0</v>
      </c>
      <c r="J79" s="670">
        <f t="shared" si="16"/>
        <v>0</v>
      </c>
      <c r="K79" s="671">
        <v>0</v>
      </c>
      <c r="L79" s="664">
        <f>K79/K43*100</f>
        <v>0</v>
      </c>
      <c r="M79" s="665">
        <f t="shared" si="17"/>
        <v>0</v>
      </c>
      <c r="N79" s="667" t="e">
        <f t="shared" si="18"/>
        <v>#DIV/0!</v>
      </c>
    </row>
    <row r="80" spans="1:16">
      <c r="A80" s="131"/>
      <c r="B80" s="661" t="s">
        <v>350</v>
      </c>
      <c r="C80" s="694" t="s">
        <v>351</v>
      </c>
      <c r="D80" s="663">
        <v>0</v>
      </c>
      <c r="E80" s="664">
        <f>D80/D43*100</f>
        <v>0</v>
      </c>
      <c r="F80" s="665">
        <v>0</v>
      </c>
      <c r="G80" s="664">
        <f>F80/F43*100</f>
        <v>0</v>
      </c>
      <c r="H80" s="670">
        <v>0</v>
      </c>
      <c r="I80" s="664">
        <f>H80/H43*100</f>
        <v>0</v>
      </c>
      <c r="J80" s="670">
        <f t="shared" si="16"/>
        <v>0</v>
      </c>
      <c r="K80" s="671">
        <v>0</v>
      </c>
      <c r="L80" s="664">
        <f>K80/K43*100</f>
        <v>0</v>
      </c>
      <c r="M80" s="665">
        <f t="shared" si="17"/>
        <v>0</v>
      </c>
      <c r="N80" s="667" t="e">
        <f t="shared" si="18"/>
        <v>#DIV/0!</v>
      </c>
    </row>
    <row r="81" spans="1:14" ht="24.75" customHeight="1">
      <c r="A81" s="131"/>
      <c r="B81" s="661" t="s">
        <v>245</v>
      </c>
      <c r="C81" s="694" t="s">
        <v>246</v>
      </c>
      <c r="D81" s="663">
        <v>299999999.87</v>
      </c>
      <c r="E81" s="664">
        <f>D81/D43*100</f>
        <v>4.1189220701106546</v>
      </c>
      <c r="F81" s="665">
        <v>100000000</v>
      </c>
      <c r="G81" s="664">
        <f>F81/F43*100</f>
        <v>0.89273757978842117</v>
      </c>
      <c r="H81" s="670">
        <v>0</v>
      </c>
      <c r="I81" s="664">
        <f>H81/H43*100</f>
        <v>0</v>
      </c>
      <c r="J81" s="670">
        <f t="shared" si="16"/>
        <v>-100000000</v>
      </c>
      <c r="K81" s="671">
        <v>0</v>
      </c>
      <c r="L81" s="664">
        <f>K81/K43*100</f>
        <v>0</v>
      </c>
      <c r="M81" s="665">
        <f t="shared" si="17"/>
        <v>0</v>
      </c>
      <c r="N81" s="667" t="e">
        <f t="shared" si="18"/>
        <v>#DIV/0!</v>
      </c>
    </row>
    <row r="82" spans="1:14" ht="21" customHeight="1">
      <c r="A82" s="131"/>
      <c r="B82" s="661" t="s">
        <v>266</v>
      </c>
      <c r="C82" s="694" t="s">
        <v>267</v>
      </c>
      <c r="D82" s="663"/>
      <c r="E82" s="664">
        <f>D82/D43*100</f>
        <v>0</v>
      </c>
      <c r="F82" s="665"/>
      <c r="G82" s="664">
        <f>F82/F43*100</f>
        <v>0</v>
      </c>
      <c r="H82" s="670">
        <v>608190000</v>
      </c>
      <c r="I82" s="664">
        <f>H82/H43*100</f>
        <v>6.8829984201210488</v>
      </c>
      <c r="J82" s="670">
        <f t="shared" si="16"/>
        <v>608190000</v>
      </c>
      <c r="K82" s="671">
        <v>608190000</v>
      </c>
      <c r="L82" s="664">
        <f>K82/K43*100</f>
        <v>7.393842175160116</v>
      </c>
      <c r="M82" s="665">
        <f t="shared" si="17"/>
        <v>0</v>
      </c>
      <c r="N82" s="667">
        <f t="shared" si="18"/>
        <v>100</v>
      </c>
    </row>
    <row r="83" spans="1:14" ht="21" customHeight="1">
      <c r="A83" s="131"/>
      <c r="B83" s="661" t="s">
        <v>352</v>
      </c>
      <c r="C83" s="694" t="s">
        <v>353</v>
      </c>
      <c r="D83" s="663">
        <v>1914759568.1500001</v>
      </c>
      <c r="E83" s="664">
        <f>D83/D43*100</f>
        <v>26.289151492087235</v>
      </c>
      <c r="F83" s="665">
        <v>0</v>
      </c>
      <c r="G83" s="664">
        <f>F83/F43*100</f>
        <v>0</v>
      </c>
      <c r="H83" s="670">
        <v>0</v>
      </c>
      <c r="I83" s="664">
        <f>H83/H43*100</f>
        <v>0</v>
      </c>
      <c r="J83" s="670">
        <f t="shared" si="16"/>
        <v>0</v>
      </c>
      <c r="K83" s="671">
        <v>0</v>
      </c>
      <c r="L83" s="664">
        <f>K83/K43*100</f>
        <v>0</v>
      </c>
      <c r="M83" s="665">
        <f t="shared" si="17"/>
        <v>0</v>
      </c>
      <c r="N83" s="667" t="e">
        <f t="shared" si="18"/>
        <v>#DIV/0!</v>
      </c>
    </row>
    <row r="84" spans="1:14">
      <c r="A84" s="131"/>
      <c r="B84" s="661" t="s">
        <v>215</v>
      </c>
      <c r="C84" s="694" t="s">
        <v>216</v>
      </c>
      <c r="D84" s="663">
        <v>0</v>
      </c>
      <c r="E84" s="664">
        <f>D84/D43*100</f>
        <v>0</v>
      </c>
      <c r="F84" s="665">
        <v>2021120000</v>
      </c>
      <c r="G84" s="664">
        <f>F84/F43*100</f>
        <v>18.043297772619738</v>
      </c>
      <c r="H84" s="670">
        <v>0</v>
      </c>
      <c r="I84" s="664">
        <f>H84/H43*100</f>
        <v>0</v>
      </c>
      <c r="J84" s="670">
        <f t="shared" si="16"/>
        <v>-2021120000</v>
      </c>
      <c r="K84" s="671">
        <v>0</v>
      </c>
      <c r="L84" s="664">
        <f>K84/K43*100</f>
        <v>0</v>
      </c>
      <c r="M84" s="665">
        <f t="shared" si="17"/>
        <v>0</v>
      </c>
      <c r="N84" s="667" t="e">
        <f t="shared" si="18"/>
        <v>#DIV/0!</v>
      </c>
    </row>
    <row r="85" spans="1:14">
      <c r="A85" s="131"/>
      <c r="B85" s="661" t="s">
        <v>236</v>
      </c>
      <c r="C85" s="694" t="s">
        <v>354</v>
      </c>
      <c r="D85" s="663">
        <v>199999999.78</v>
      </c>
      <c r="E85" s="664">
        <f>D85/D43*100</f>
        <v>2.7459480449098042</v>
      </c>
      <c r="F85" s="665">
        <v>86193000</v>
      </c>
      <c r="G85" s="664">
        <f>F85/F43*100</f>
        <v>0.76947730214703391</v>
      </c>
      <c r="H85" s="670">
        <v>142228750</v>
      </c>
      <c r="I85" s="664">
        <f>H85/H43*100</f>
        <v>1.6096290000588493</v>
      </c>
      <c r="J85" s="670">
        <f t="shared" si="16"/>
        <v>56035750</v>
      </c>
      <c r="K85" s="671">
        <v>130934503</v>
      </c>
      <c r="L85" s="664">
        <f>K85/K43*100</f>
        <v>1.5917871889788204</v>
      </c>
      <c r="M85" s="665">
        <f t="shared" si="17"/>
        <v>11294247</v>
      </c>
      <c r="N85" s="667">
        <f t="shared" si="18"/>
        <v>92.059097053162603</v>
      </c>
    </row>
    <row r="86" spans="1:14">
      <c r="A86" s="131"/>
      <c r="B86" s="661" t="s">
        <v>288</v>
      </c>
      <c r="C86" s="694" t="s">
        <v>289</v>
      </c>
      <c r="D86" s="663">
        <v>7684135</v>
      </c>
      <c r="E86" s="664">
        <f>D86/D43*100</f>
        <v>0.10550117751641629</v>
      </c>
      <c r="F86" s="665">
        <v>0</v>
      </c>
      <c r="G86" s="664">
        <f>F86/F43*100</f>
        <v>0</v>
      </c>
      <c r="H86" s="670">
        <v>16000000</v>
      </c>
      <c r="I86" s="664">
        <f>H86/H43*100</f>
        <v>0.18107495144927865</v>
      </c>
      <c r="J86" s="670">
        <f t="shared" si="16"/>
        <v>16000000</v>
      </c>
      <c r="K86" s="671">
        <v>3184109</v>
      </c>
      <c r="L86" s="664">
        <f>K86/K43*100</f>
        <v>3.8709612809330808E-2</v>
      </c>
      <c r="M86" s="665">
        <f t="shared" si="17"/>
        <v>12815891</v>
      </c>
      <c r="N86" s="667">
        <f t="shared" si="18"/>
        <v>19.900681249999998</v>
      </c>
    </row>
    <row r="87" spans="1:14" ht="22.5" customHeight="1">
      <c r="A87" s="131"/>
      <c r="B87" s="661" t="s">
        <v>274</v>
      </c>
      <c r="C87" s="694" t="s">
        <v>355</v>
      </c>
      <c r="D87" s="663">
        <v>2961971096.8000002</v>
      </c>
      <c r="E87" s="664">
        <f>D87/D43*100</f>
        <v>40.66709375642035</v>
      </c>
      <c r="F87" s="665">
        <v>4932668000</v>
      </c>
      <c r="G87" s="664">
        <f>F87/F43*100</f>
        <v>44.035780922197922</v>
      </c>
      <c r="H87" s="670">
        <v>4201139330</v>
      </c>
      <c r="I87" s="664">
        <f>H87/H43*100</f>
        <v>47.545068763212811</v>
      </c>
      <c r="J87" s="670">
        <f t="shared" si="16"/>
        <v>-731528670</v>
      </c>
      <c r="K87" s="671">
        <v>3986947598</v>
      </c>
      <c r="L87" s="664">
        <f>K87/K43*100</f>
        <v>48.469822424317599</v>
      </c>
      <c r="M87" s="665">
        <f t="shared" si="17"/>
        <v>214191732</v>
      </c>
      <c r="N87" s="667">
        <f t="shared" si="18"/>
        <v>94.90157990070756</v>
      </c>
    </row>
    <row r="88" spans="1:14">
      <c r="A88" s="131"/>
      <c r="B88" s="661" t="s">
        <v>311</v>
      </c>
      <c r="C88" s="694" t="s">
        <v>356</v>
      </c>
      <c r="D88" s="663">
        <v>598289276.13999999</v>
      </c>
      <c r="E88" s="664">
        <f>D88/D43*100</f>
        <v>8.2143563495714673</v>
      </c>
      <c r="F88" s="665">
        <v>515128000</v>
      </c>
      <c r="G88" s="664">
        <f>F88/F43*100</f>
        <v>4.5987412400124983</v>
      </c>
      <c r="H88" s="670">
        <v>0</v>
      </c>
      <c r="I88" s="664">
        <f>H88/H43*100</f>
        <v>0</v>
      </c>
      <c r="J88" s="670">
        <f t="shared" si="16"/>
        <v>-515128000</v>
      </c>
      <c r="K88" s="671">
        <v>0</v>
      </c>
      <c r="L88" s="664">
        <f>K88/K43*100</f>
        <v>0</v>
      </c>
      <c r="M88" s="665">
        <f t="shared" si="17"/>
        <v>0</v>
      </c>
      <c r="N88" s="667" t="e">
        <f t="shared" si="18"/>
        <v>#DIV/0!</v>
      </c>
    </row>
    <row r="89" spans="1:14">
      <c r="A89" s="131"/>
      <c r="B89" s="661" t="s">
        <v>256</v>
      </c>
      <c r="C89" s="694" t="s">
        <v>357</v>
      </c>
      <c r="D89" s="663"/>
      <c r="E89" s="664">
        <f>D89/D43*100</f>
        <v>0</v>
      </c>
      <c r="F89" s="665">
        <v>0</v>
      </c>
      <c r="G89" s="664">
        <f>F89/F43*100</f>
        <v>0</v>
      </c>
      <c r="H89" s="670">
        <v>640000000</v>
      </c>
      <c r="I89" s="664">
        <f>H89/H43*100</f>
        <v>7.2429980579711453</v>
      </c>
      <c r="J89" s="670">
        <f t="shared" si="16"/>
        <v>640000000</v>
      </c>
      <c r="K89" s="671">
        <v>624616320</v>
      </c>
      <c r="L89" s="664">
        <f>K89/K43*100</f>
        <v>7.5935390093709323</v>
      </c>
      <c r="M89" s="665">
        <f t="shared" si="17"/>
        <v>15383680</v>
      </c>
      <c r="N89" s="667">
        <f t="shared" si="18"/>
        <v>97.596299999999999</v>
      </c>
    </row>
    <row r="90" spans="1:14">
      <c r="A90" s="131"/>
      <c r="B90" s="661" t="s">
        <v>257</v>
      </c>
      <c r="C90" s="694" t="s">
        <v>258</v>
      </c>
      <c r="D90" s="663"/>
      <c r="E90" s="664">
        <f>D90/D43*100</f>
        <v>0</v>
      </c>
      <c r="F90" s="665">
        <v>0</v>
      </c>
      <c r="G90" s="664">
        <f>F90/F43*100</f>
        <v>0</v>
      </c>
      <c r="H90" s="670">
        <v>901600000</v>
      </c>
      <c r="I90" s="664">
        <f>H90/H43*100</f>
        <v>10.203573514166852</v>
      </c>
      <c r="J90" s="670">
        <f t="shared" si="16"/>
        <v>901600000</v>
      </c>
      <c r="K90" s="671">
        <v>901600000</v>
      </c>
      <c r="L90" s="664">
        <f>K90/K43*100</f>
        <v>10.960864376468473</v>
      </c>
      <c r="M90" s="665">
        <f t="shared" si="17"/>
        <v>0</v>
      </c>
      <c r="N90" s="667">
        <f t="shared" si="18"/>
        <v>100</v>
      </c>
    </row>
    <row r="91" spans="1:14">
      <c r="A91" s="131"/>
      <c r="B91" s="661" t="s">
        <v>259</v>
      </c>
      <c r="C91" s="694" t="s">
        <v>358</v>
      </c>
      <c r="D91" s="663"/>
      <c r="E91" s="664">
        <f>D91/D43*100</f>
        <v>0</v>
      </c>
      <c r="F91" s="665">
        <v>0</v>
      </c>
      <c r="G91" s="664">
        <f>F91/F43*100</f>
        <v>0</v>
      </c>
      <c r="H91" s="670">
        <v>0</v>
      </c>
      <c r="I91" s="664">
        <f>H91/H43*100</f>
        <v>0</v>
      </c>
      <c r="J91" s="670">
        <f t="shared" si="16"/>
        <v>0</v>
      </c>
      <c r="K91" s="671">
        <v>0</v>
      </c>
      <c r="L91" s="664">
        <f>K91/K43*100</f>
        <v>0</v>
      </c>
      <c r="M91" s="665">
        <f t="shared" si="17"/>
        <v>0</v>
      </c>
      <c r="N91" s="667" t="e">
        <f t="shared" si="18"/>
        <v>#DIV/0!</v>
      </c>
    </row>
    <row r="92" spans="1:14" ht="21" customHeight="1">
      <c r="A92" s="131"/>
      <c r="B92" s="661" t="s">
        <v>260</v>
      </c>
      <c r="C92" s="694" t="s">
        <v>359</v>
      </c>
      <c r="D92" s="663"/>
      <c r="E92" s="664">
        <f>D92/D43*100</f>
        <v>0</v>
      </c>
      <c r="F92" s="665">
        <v>0</v>
      </c>
      <c r="G92" s="664">
        <f>F92/F43*100</f>
        <v>0</v>
      </c>
      <c r="H92" s="670">
        <v>37000000</v>
      </c>
      <c r="I92" s="664">
        <f>H92/H43*100</f>
        <v>0.41873582522645691</v>
      </c>
      <c r="J92" s="670">
        <f t="shared" si="16"/>
        <v>37000000</v>
      </c>
      <c r="K92" s="671">
        <v>36756984</v>
      </c>
      <c r="L92" s="664">
        <f>K92/K43*100</f>
        <v>0.44685926853596009</v>
      </c>
      <c r="M92" s="665">
        <f t="shared" si="17"/>
        <v>243016</v>
      </c>
      <c r="N92" s="667">
        <f t="shared" si="18"/>
        <v>99.343199999999996</v>
      </c>
    </row>
    <row r="93" spans="1:14" ht="18" customHeight="1">
      <c r="A93" s="131"/>
      <c r="B93" s="661" t="s">
        <v>262</v>
      </c>
      <c r="C93" s="694" t="s">
        <v>360</v>
      </c>
      <c r="D93" s="663"/>
      <c r="E93" s="664">
        <f>D93/D43*100</f>
        <v>0</v>
      </c>
      <c r="F93" s="665">
        <v>0</v>
      </c>
      <c r="G93" s="664">
        <f>F93/F43*100</f>
        <v>0</v>
      </c>
      <c r="H93" s="670">
        <v>0</v>
      </c>
      <c r="I93" s="664">
        <f>H93/H43*100</f>
        <v>0</v>
      </c>
      <c r="J93" s="665">
        <f t="shared" si="16"/>
        <v>0</v>
      </c>
      <c r="K93" s="666">
        <v>0</v>
      </c>
      <c r="L93" s="664">
        <f>K93/K43*100</f>
        <v>0</v>
      </c>
      <c r="M93" s="665">
        <f t="shared" si="17"/>
        <v>0</v>
      </c>
      <c r="N93" s="667" t="e">
        <f t="shared" si="18"/>
        <v>#DIV/0!</v>
      </c>
    </row>
    <row r="94" spans="1:14">
      <c r="A94" s="131"/>
      <c r="B94" s="661" t="s">
        <v>263</v>
      </c>
      <c r="C94" s="694" t="s">
        <v>264</v>
      </c>
      <c r="D94" s="663"/>
      <c r="E94" s="664">
        <f>D94/D43*100</f>
        <v>0</v>
      </c>
      <c r="F94" s="665">
        <v>0</v>
      </c>
      <c r="G94" s="664">
        <f>F94/F43*100</f>
        <v>0</v>
      </c>
      <c r="H94" s="670">
        <v>0</v>
      </c>
      <c r="I94" s="664">
        <f>H94/H43*100</f>
        <v>0</v>
      </c>
      <c r="J94" s="665">
        <f t="shared" si="16"/>
        <v>0</v>
      </c>
      <c r="K94" s="666">
        <v>0</v>
      </c>
      <c r="L94" s="664">
        <f>K94/K43*100</f>
        <v>0</v>
      </c>
      <c r="M94" s="665">
        <f t="shared" si="17"/>
        <v>0</v>
      </c>
      <c r="N94" s="667" t="e">
        <f t="shared" si="18"/>
        <v>#DIV/0!</v>
      </c>
    </row>
    <row r="95" spans="1:14" ht="21" customHeight="1">
      <c r="A95" s="131"/>
      <c r="B95" s="661"/>
      <c r="C95" s="679" t="s">
        <v>122</v>
      </c>
      <c r="D95" s="698">
        <f>D43</f>
        <v>7283458991.5400009</v>
      </c>
      <c r="E95" s="698">
        <f>D95/D106*100</f>
        <v>50.048466341054073</v>
      </c>
      <c r="F95" s="698">
        <f t="shared" ref="F95:N95" si="19">F43</f>
        <v>11201500000</v>
      </c>
      <c r="G95" s="698">
        <f>F95/F106*100</f>
        <v>60.049562131126613</v>
      </c>
      <c r="H95" s="698">
        <f t="shared" si="19"/>
        <v>8836120000</v>
      </c>
      <c r="I95" s="698">
        <f>H95/H106*100</f>
        <v>48.8878799515197</v>
      </c>
      <c r="J95" s="698">
        <f t="shared" si="19"/>
        <v>-2365380000</v>
      </c>
      <c r="K95" s="699">
        <f>K43</f>
        <v>8225628646</v>
      </c>
      <c r="L95" s="698">
        <f>K95/K106*100</f>
        <v>47.324492888492166</v>
      </c>
      <c r="M95" s="698">
        <f t="shared" si="19"/>
        <v>610491354</v>
      </c>
      <c r="N95" s="700" t="e">
        <f t="shared" si="19"/>
        <v>#DIV/0!</v>
      </c>
    </row>
    <row r="96" spans="1:14" ht="15.75" customHeight="1">
      <c r="A96" s="131"/>
      <c r="B96" s="661" t="s">
        <v>131</v>
      </c>
      <c r="C96" s="694" t="s">
        <v>132</v>
      </c>
      <c r="D96" s="663"/>
      <c r="E96" s="665"/>
      <c r="F96" s="665"/>
      <c r="G96" s="665"/>
      <c r="H96" s="665"/>
      <c r="I96" s="665"/>
      <c r="J96" s="665"/>
      <c r="K96" s="666"/>
      <c r="L96" s="665"/>
      <c r="M96" s="665">
        <f t="shared" si="17"/>
        <v>0</v>
      </c>
      <c r="N96" s="667"/>
    </row>
    <row r="97" spans="1:14" ht="22.5" customHeight="1">
      <c r="A97" s="131"/>
      <c r="B97" s="661" t="s">
        <v>283</v>
      </c>
      <c r="C97" s="694" t="s">
        <v>284</v>
      </c>
      <c r="D97" s="663">
        <v>0</v>
      </c>
      <c r="E97" s="665">
        <v>0</v>
      </c>
      <c r="F97" s="665">
        <v>41650000</v>
      </c>
      <c r="G97" s="665">
        <v>0</v>
      </c>
      <c r="H97" s="665">
        <v>7294000000</v>
      </c>
      <c r="I97" s="665">
        <v>0</v>
      </c>
      <c r="J97" s="665">
        <f>K97-F97</f>
        <v>-41650000</v>
      </c>
      <c r="K97" s="666"/>
      <c r="L97" s="665">
        <v>0</v>
      </c>
      <c r="M97" s="665" t="e">
        <f>K97-#REF!</f>
        <v>#REF!</v>
      </c>
      <c r="N97" s="667" t="e">
        <f>#REF!/K97*100</f>
        <v>#REF!</v>
      </c>
    </row>
    <row r="98" spans="1:14">
      <c r="A98" s="131"/>
      <c r="B98" s="661" t="s">
        <v>248</v>
      </c>
      <c r="C98" s="694" t="s">
        <v>249</v>
      </c>
      <c r="D98" s="663">
        <v>0</v>
      </c>
      <c r="E98" s="665">
        <v>0</v>
      </c>
      <c r="F98" s="665">
        <v>10158350000</v>
      </c>
      <c r="G98" s="665">
        <v>0</v>
      </c>
      <c r="H98" s="665">
        <v>3808400000</v>
      </c>
      <c r="I98" s="665">
        <v>0</v>
      </c>
      <c r="J98" s="665">
        <f>K98-F98</f>
        <v>-10158350000</v>
      </c>
      <c r="K98" s="666"/>
      <c r="L98" s="665">
        <v>0</v>
      </c>
      <c r="M98" s="665" t="e">
        <f>K98-#REF!</f>
        <v>#REF!</v>
      </c>
      <c r="N98" s="667" t="e">
        <f>#REF!/K98*100</f>
        <v>#REF!</v>
      </c>
    </row>
    <row r="99" spans="1:14" ht="22.5" customHeight="1">
      <c r="A99" s="131"/>
      <c r="B99" s="661" t="s">
        <v>361</v>
      </c>
      <c r="C99" s="694" t="s">
        <v>362</v>
      </c>
      <c r="D99" s="663">
        <v>0</v>
      </c>
      <c r="E99" s="665">
        <v>0</v>
      </c>
      <c r="F99" s="665">
        <v>0</v>
      </c>
      <c r="G99" s="665">
        <v>0</v>
      </c>
      <c r="H99" s="665">
        <v>0</v>
      </c>
      <c r="I99" s="665">
        <v>0</v>
      </c>
      <c r="J99" s="665">
        <v>0</v>
      </c>
      <c r="K99" s="666">
        <v>0</v>
      </c>
      <c r="L99" s="665">
        <v>0</v>
      </c>
      <c r="M99" s="665">
        <f t="shared" si="17"/>
        <v>0</v>
      </c>
      <c r="N99" s="667" t="e">
        <f t="shared" ref="N99:N105" si="20">K99/H99*100</f>
        <v>#DIV/0!</v>
      </c>
    </row>
    <row r="100" spans="1:14" ht="21.75" customHeight="1">
      <c r="A100" s="131"/>
      <c r="B100" s="661"/>
      <c r="C100" s="679" t="s">
        <v>123</v>
      </c>
      <c r="D100" s="698">
        <f>D97+D98+D99</f>
        <v>0</v>
      </c>
      <c r="E100" s="698">
        <f t="shared" ref="E100:K100" si="21">E97+E98+E99</f>
        <v>0</v>
      </c>
      <c r="F100" s="698">
        <f>F97+F98+F99</f>
        <v>10200000000</v>
      </c>
      <c r="G100" s="698">
        <f t="shared" ref="G100" si="22">G97+G98+G99</f>
        <v>0</v>
      </c>
      <c r="H100" s="698">
        <f>H97+H98+H99</f>
        <v>11102400000</v>
      </c>
      <c r="I100" s="698">
        <f>I97+I98+I99</f>
        <v>0</v>
      </c>
      <c r="J100" s="698">
        <f t="shared" si="21"/>
        <v>-10200000000</v>
      </c>
      <c r="K100" s="698">
        <f t="shared" si="21"/>
        <v>0</v>
      </c>
      <c r="L100" s="698">
        <f t="shared" ref="L100" si="23">L97+L98+L99</f>
        <v>0</v>
      </c>
      <c r="M100" s="665">
        <f t="shared" si="17"/>
        <v>11102400000</v>
      </c>
      <c r="N100" s="667">
        <f t="shared" si="20"/>
        <v>0</v>
      </c>
    </row>
    <row r="101" spans="1:14" ht="19.5" customHeight="1">
      <c r="A101" s="131"/>
      <c r="B101" s="661"/>
      <c r="C101" s="679" t="s">
        <v>135</v>
      </c>
      <c r="D101" s="698">
        <v>3574560</v>
      </c>
      <c r="E101" s="701">
        <f>D101/D103*100</f>
        <v>100</v>
      </c>
      <c r="F101" s="701"/>
      <c r="G101" s="701" t="e">
        <f>F101/F103*100</f>
        <v>#DIV/0!</v>
      </c>
      <c r="H101" s="701"/>
      <c r="I101" s="698">
        <f>I98+I99+I100</f>
        <v>0</v>
      </c>
      <c r="J101" s="701"/>
      <c r="K101" s="699">
        <v>0</v>
      </c>
      <c r="L101" s="701" t="e">
        <f>K101/K103*100</f>
        <v>#DIV/0!</v>
      </c>
      <c r="M101" s="665">
        <f t="shared" si="17"/>
        <v>0</v>
      </c>
      <c r="N101" s="667" t="e">
        <f t="shared" si="20"/>
        <v>#DIV/0!</v>
      </c>
    </row>
    <row r="102" spans="1:14">
      <c r="A102" s="131"/>
      <c r="B102" s="661" t="s">
        <v>131</v>
      </c>
      <c r="C102" s="694" t="s">
        <v>132</v>
      </c>
      <c r="D102" s="663"/>
      <c r="E102" s="665"/>
      <c r="F102" s="665"/>
      <c r="G102" s="665"/>
      <c r="H102" s="665"/>
      <c r="I102" s="665"/>
      <c r="J102" s="665"/>
      <c r="K102" s="666"/>
      <c r="L102" s="665"/>
      <c r="M102" s="665">
        <f t="shared" si="17"/>
        <v>0</v>
      </c>
      <c r="N102" s="667" t="e">
        <f t="shared" si="20"/>
        <v>#DIV/0!</v>
      </c>
    </row>
    <row r="103" spans="1:14">
      <c r="A103" s="131"/>
      <c r="B103" s="661"/>
      <c r="C103" s="679" t="s">
        <v>137</v>
      </c>
      <c r="D103" s="698">
        <v>3574560</v>
      </c>
      <c r="E103" s="701">
        <v>100</v>
      </c>
      <c r="F103" s="701"/>
      <c r="G103" s="701">
        <v>100</v>
      </c>
      <c r="H103" s="701"/>
      <c r="I103" s="701">
        <v>100</v>
      </c>
      <c r="J103" s="701"/>
      <c r="K103" s="699">
        <v>0</v>
      </c>
      <c r="L103" s="701">
        <v>100</v>
      </c>
      <c r="M103" s="701"/>
      <c r="N103" s="667" t="e">
        <f t="shared" si="20"/>
        <v>#DIV/0!</v>
      </c>
    </row>
    <row r="104" spans="1:14">
      <c r="A104" s="131"/>
      <c r="B104" s="661" t="s">
        <v>131</v>
      </c>
      <c r="C104" s="694" t="s">
        <v>132</v>
      </c>
      <c r="D104" s="663"/>
      <c r="E104" s="665"/>
      <c r="F104" s="665"/>
      <c r="G104" s="665"/>
      <c r="H104" s="665"/>
      <c r="I104" s="665"/>
      <c r="J104" s="665"/>
      <c r="K104" s="666"/>
      <c r="L104" s="665"/>
      <c r="M104" s="665"/>
      <c r="N104" s="667" t="e">
        <f t="shared" si="20"/>
        <v>#DIV/0!</v>
      </c>
    </row>
    <row r="105" spans="1:14">
      <c r="A105" s="131"/>
      <c r="B105" s="661" t="s">
        <v>363</v>
      </c>
      <c r="C105" s="694" t="s">
        <v>364</v>
      </c>
      <c r="D105" s="663">
        <v>3574560</v>
      </c>
      <c r="E105" s="665">
        <f>E103</f>
        <v>100</v>
      </c>
      <c r="F105" s="665"/>
      <c r="G105" s="665">
        <f>G103</f>
        <v>100</v>
      </c>
      <c r="H105" s="665"/>
      <c r="I105" s="665">
        <f>I103</f>
        <v>100</v>
      </c>
      <c r="J105" s="665"/>
      <c r="K105" s="666">
        <v>0</v>
      </c>
      <c r="L105" s="665">
        <f>L103</f>
        <v>100</v>
      </c>
      <c r="M105" s="665"/>
      <c r="N105" s="667" t="e">
        <f t="shared" si="20"/>
        <v>#DIV/0!</v>
      </c>
    </row>
    <row r="106" spans="1:14" ht="15.75" thickBot="1">
      <c r="A106" s="131"/>
      <c r="B106" s="702"/>
      <c r="C106" s="703" t="s">
        <v>128</v>
      </c>
      <c r="D106" s="704">
        <f>D103+D95+D36+D100</f>
        <v>14552811552.52</v>
      </c>
      <c r="E106" s="704">
        <f>E22+E25</f>
        <v>100</v>
      </c>
      <c r="F106" s="704">
        <f>(F103+F95+F36+F100)-F100</f>
        <v>18653758000</v>
      </c>
      <c r="G106" s="704">
        <f>G22+G25</f>
        <v>64.649318816633865</v>
      </c>
      <c r="H106" s="704">
        <f>H103+H95+H36</f>
        <v>18074254823</v>
      </c>
      <c r="I106" s="704">
        <f>I22+I25</f>
        <v>100</v>
      </c>
      <c r="J106" s="704">
        <f t="shared" ref="J106" si="24">J103+J95+J36+J100</f>
        <v>-10779503177</v>
      </c>
      <c r="K106" s="704">
        <f>K103+K95+K36+K100+34000</f>
        <v>17381335000</v>
      </c>
      <c r="L106" s="704">
        <f>L22+L25</f>
        <v>100</v>
      </c>
      <c r="M106" s="704">
        <f>M103+M95+M36+M100</f>
        <v>11795353823</v>
      </c>
      <c r="N106" s="667">
        <f>K106/H106*100</f>
        <v>96.166260629908578</v>
      </c>
    </row>
  </sheetData>
  <mergeCells count="20">
    <mergeCell ref="A5:A6"/>
    <mergeCell ref="B6:B7"/>
    <mergeCell ref="C6:E7"/>
    <mergeCell ref="F6:G7"/>
    <mergeCell ref="H6:N7"/>
    <mergeCell ref="B13:C13"/>
    <mergeCell ref="B34:C34"/>
    <mergeCell ref="B2:N2"/>
    <mergeCell ref="B3:N3"/>
    <mergeCell ref="B4:N4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Z54"/>
  <sheetViews>
    <sheetView zoomScale="140" zoomScaleNormal="140" workbookViewId="0">
      <pane xSplit="5" ySplit="12" topLeftCell="F13" activePane="bottomRight" state="frozen"/>
      <selection pane="topRight" activeCell="F1" sqref="F1"/>
      <selection pane="bottomLeft" activeCell="A13" sqref="A13"/>
      <selection pane="bottomRight" activeCell="F23" sqref="F23"/>
    </sheetView>
  </sheetViews>
  <sheetFormatPr defaultRowHeight="11.25"/>
  <cols>
    <col min="1" max="1" width="0.85546875" style="38" customWidth="1"/>
    <col min="2" max="2" width="10.85546875" style="256" customWidth="1"/>
    <col min="3" max="3" width="43.42578125" style="256" customWidth="1"/>
    <col min="4" max="4" width="13.85546875" style="256" customWidth="1"/>
    <col min="5" max="5" width="6" style="256" customWidth="1"/>
    <col min="6" max="6" width="16.5703125" style="256" bestFit="1" customWidth="1"/>
    <col min="7" max="7" width="5.5703125" style="256" customWidth="1"/>
    <col min="8" max="8" width="14" style="256" customWidth="1"/>
    <col min="9" max="9" width="5.42578125" style="256" customWidth="1"/>
    <col min="10" max="10" width="14.7109375" style="256" customWidth="1"/>
    <col min="11" max="11" width="16.5703125" style="256" bestFit="1" customWidth="1"/>
    <col min="12" max="12" width="5.28515625" style="256" customWidth="1"/>
    <col min="13" max="13" width="11.28515625" style="256" customWidth="1"/>
    <col min="14" max="14" width="10.140625" style="256" customWidth="1"/>
    <col min="15" max="26" width="9.140625" style="256"/>
    <col min="27" max="16384" width="9.140625" style="38"/>
  </cols>
  <sheetData>
    <row r="1" spans="1:14">
      <c r="A1" s="70"/>
      <c r="B1" s="257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>
      <c r="A2" s="70"/>
      <c r="B2" s="1140" t="s">
        <v>112</v>
      </c>
      <c r="C2" s="1140"/>
      <c r="D2" s="1140"/>
      <c r="E2" s="1140"/>
      <c r="F2" s="1140"/>
      <c r="G2" s="1140"/>
      <c r="H2" s="1140"/>
      <c r="I2" s="1140"/>
      <c r="J2" s="1140"/>
      <c r="K2" s="1140"/>
      <c r="L2" s="1140"/>
      <c r="M2" s="1140"/>
      <c r="N2" s="1140"/>
    </row>
    <row r="3" spans="1:14">
      <c r="A3" s="70"/>
      <c r="B3" s="1141" t="s">
        <v>196</v>
      </c>
      <c r="C3" s="1141"/>
      <c r="D3" s="1141"/>
      <c r="E3" s="1141"/>
      <c r="F3" s="1141"/>
      <c r="G3" s="1141"/>
      <c r="H3" s="1141"/>
      <c r="I3" s="1141"/>
      <c r="J3" s="1141"/>
      <c r="K3" s="1141"/>
      <c r="L3" s="1141"/>
      <c r="M3" s="1141"/>
      <c r="N3" s="1141"/>
    </row>
    <row r="4" spans="1:14">
      <c r="A4" s="70"/>
      <c r="B4" s="1142" t="s">
        <v>1</v>
      </c>
      <c r="C4" s="1142"/>
      <c r="D4" s="1142"/>
      <c r="E4" s="1142"/>
      <c r="F4" s="1142"/>
      <c r="G4" s="1142"/>
      <c r="H4" s="1142"/>
      <c r="I4" s="1142"/>
      <c r="J4" s="1142"/>
      <c r="K4" s="1142"/>
      <c r="L4" s="1142"/>
      <c r="M4" s="1142"/>
      <c r="N4" s="1142"/>
    </row>
    <row r="5" spans="1:14" ht="12" thickBot="1">
      <c r="A5" s="1131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</row>
    <row r="6" spans="1:14" ht="12.75" thickTop="1" thickBot="1">
      <c r="A6" s="1131"/>
      <c r="B6" s="1143" t="s">
        <v>113</v>
      </c>
      <c r="C6" s="1144" t="s">
        <v>197</v>
      </c>
      <c r="D6" s="1144"/>
      <c r="E6" s="1144"/>
      <c r="F6" s="1145" t="s">
        <v>3</v>
      </c>
      <c r="G6" s="1145"/>
      <c r="H6" s="1146">
        <v>17</v>
      </c>
      <c r="I6" s="1146"/>
      <c r="J6" s="1146"/>
      <c r="K6" s="1146"/>
      <c r="L6" s="1146"/>
      <c r="M6" s="1146"/>
      <c r="N6" s="1146"/>
    </row>
    <row r="7" spans="1:14" ht="12" thickTop="1">
      <c r="A7" s="70"/>
      <c r="B7" s="1143"/>
      <c r="C7" s="1144"/>
      <c r="D7" s="1144"/>
      <c r="E7" s="1144"/>
      <c r="F7" s="1145"/>
      <c r="G7" s="1145"/>
      <c r="H7" s="1146"/>
      <c r="I7" s="1146"/>
      <c r="J7" s="1146"/>
      <c r="K7" s="1146"/>
      <c r="L7" s="1146"/>
      <c r="M7" s="1146"/>
      <c r="N7" s="1146"/>
    </row>
    <row r="8" spans="1:14">
      <c r="A8" s="70"/>
      <c r="B8" s="259" t="s">
        <v>114</v>
      </c>
      <c r="C8" s="1132" t="s">
        <v>521</v>
      </c>
      <c r="D8" s="1132"/>
      <c r="E8" s="1132"/>
      <c r="F8" s="1133" t="s">
        <v>115</v>
      </c>
      <c r="G8" s="1133"/>
      <c r="H8" s="1134">
        <v>2120</v>
      </c>
      <c r="I8" s="1134"/>
      <c r="J8" s="1134"/>
      <c r="K8" s="1134"/>
      <c r="L8" s="1134"/>
      <c r="M8" s="1134"/>
      <c r="N8" s="1134"/>
    </row>
    <row r="9" spans="1:14" ht="12" thickBot="1">
      <c r="A9" s="70"/>
      <c r="B9" s="1135" t="s">
        <v>4</v>
      </c>
      <c r="C9" s="1135"/>
      <c r="D9" s="1136" t="s">
        <v>116</v>
      </c>
      <c r="E9" s="1136"/>
      <c r="F9" s="1136"/>
      <c r="G9" s="1136"/>
      <c r="H9" s="1136"/>
      <c r="I9" s="1136"/>
      <c r="J9" s="1136"/>
      <c r="K9" s="1136"/>
      <c r="L9" s="1136"/>
      <c r="M9" s="1136"/>
      <c r="N9" s="1136"/>
    </row>
    <row r="10" spans="1:14" ht="28.5" customHeight="1" thickTop="1" thickBot="1">
      <c r="A10" s="70"/>
      <c r="B10" s="1135"/>
      <c r="C10" s="1135"/>
      <c r="D10" s="25" t="s">
        <v>117</v>
      </c>
      <c r="E10" s="26">
        <v>2024</v>
      </c>
      <c r="F10" s="1137" t="s">
        <v>6</v>
      </c>
      <c r="G10" s="1137"/>
      <c r="H10" s="1137" t="s">
        <v>6</v>
      </c>
      <c r="I10" s="1137"/>
      <c r="J10" s="231" t="s">
        <v>6</v>
      </c>
      <c r="K10" s="1137" t="s">
        <v>6</v>
      </c>
      <c r="L10" s="1137"/>
      <c r="M10" s="1139" t="s">
        <v>118</v>
      </c>
      <c r="N10" s="1138" t="s">
        <v>8</v>
      </c>
    </row>
    <row r="11" spans="1:14" ht="55.5" thickTop="1" thickBot="1">
      <c r="A11" s="70"/>
      <c r="B11" s="1135"/>
      <c r="C11" s="1135"/>
      <c r="D11" s="3" t="s">
        <v>119</v>
      </c>
      <c r="E11" s="4" t="s">
        <v>10</v>
      </c>
      <c r="F11" s="5" t="s">
        <v>182</v>
      </c>
      <c r="G11" s="6" t="s">
        <v>10</v>
      </c>
      <c r="H11" s="5" t="s">
        <v>183</v>
      </c>
      <c r="I11" s="6" t="s">
        <v>10</v>
      </c>
      <c r="J11" s="7" t="s">
        <v>120</v>
      </c>
      <c r="K11" s="5" t="s">
        <v>12</v>
      </c>
      <c r="L11" s="6" t="s">
        <v>10</v>
      </c>
      <c r="M11" s="1139"/>
      <c r="N11" s="1138"/>
    </row>
    <row r="12" spans="1:14" ht="12.75" thickTop="1" thickBot="1">
      <c r="A12" s="70"/>
      <c r="B12" s="1135"/>
      <c r="C12" s="1135"/>
      <c r="D12" s="8" t="s">
        <v>13</v>
      </c>
      <c r="E12" s="8" t="s">
        <v>14</v>
      </c>
      <c r="F12" s="8" t="s">
        <v>15</v>
      </c>
      <c r="G12" s="8" t="s">
        <v>16</v>
      </c>
      <c r="H12" s="8" t="s">
        <v>17</v>
      </c>
      <c r="I12" s="8" t="s">
        <v>18</v>
      </c>
      <c r="J12" s="8" t="s">
        <v>19</v>
      </c>
      <c r="K12" s="8" t="s">
        <v>20</v>
      </c>
      <c r="L12" s="8" t="s">
        <v>21</v>
      </c>
      <c r="M12" s="8" t="s">
        <v>22</v>
      </c>
      <c r="N12" s="9" t="s">
        <v>23</v>
      </c>
    </row>
    <row r="13" spans="1:14" ht="12" thickTop="1">
      <c r="A13" s="70"/>
      <c r="B13" s="1121" t="s">
        <v>32</v>
      </c>
      <c r="C13" s="1121"/>
      <c r="D13" s="250"/>
      <c r="E13" s="39"/>
      <c r="F13" s="250"/>
      <c r="G13" s="39"/>
      <c r="H13" s="250"/>
      <c r="I13" s="39"/>
      <c r="J13" s="251"/>
      <c r="K13" s="250"/>
      <c r="L13" s="39"/>
      <c r="M13" s="250"/>
      <c r="N13" s="260"/>
    </row>
    <row r="14" spans="1:14">
      <c r="A14" s="70"/>
      <c r="B14" s="261" t="s">
        <v>25</v>
      </c>
      <c r="C14" s="252" t="s">
        <v>26</v>
      </c>
      <c r="D14" s="250"/>
      <c r="E14" s="39"/>
      <c r="F14" s="250"/>
      <c r="G14" s="39"/>
      <c r="H14" s="250"/>
      <c r="I14" s="39"/>
      <c r="J14" s="253"/>
      <c r="K14" s="250"/>
      <c r="L14" s="39"/>
      <c r="M14" s="250"/>
      <c r="N14" s="260"/>
    </row>
    <row r="15" spans="1:14">
      <c r="A15" s="70"/>
      <c r="B15" s="230" t="s">
        <v>34</v>
      </c>
      <c r="C15" s="27" t="s">
        <v>35</v>
      </c>
      <c r="D15" s="10">
        <v>3055112840</v>
      </c>
      <c r="E15" s="45">
        <f>D15/D22*100</f>
        <v>49.846843496686368</v>
      </c>
      <c r="F15" s="11">
        <v>3188700000</v>
      </c>
      <c r="G15" s="45">
        <f>F15/F22*100</f>
        <v>47.205480555256187</v>
      </c>
      <c r="H15" s="11">
        <v>3655358127</v>
      </c>
      <c r="I15" s="45">
        <f>H15/H22*100</f>
        <v>47.717768067311781</v>
      </c>
      <c r="J15" s="11">
        <f>H15-F15</f>
        <v>466658127</v>
      </c>
      <c r="K15" s="11">
        <v>3643746554</v>
      </c>
      <c r="L15" s="45">
        <f>K15/K22*100</f>
        <v>48.200526644683968</v>
      </c>
      <c r="M15" s="11">
        <f>H15-K15</f>
        <v>11611573</v>
      </c>
      <c r="N15" s="46">
        <f>K15/H15*100</f>
        <v>99.682341029344514</v>
      </c>
    </row>
    <row r="16" spans="1:14">
      <c r="A16" s="70"/>
      <c r="B16" s="230" t="s">
        <v>36</v>
      </c>
      <c r="C16" s="27" t="s">
        <v>37</v>
      </c>
      <c r="D16" s="10">
        <v>528272232</v>
      </c>
      <c r="E16" s="45">
        <f>D16/D22*100</f>
        <v>8.6192244447996202</v>
      </c>
      <c r="F16" s="11">
        <v>514300000</v>
      </c>
      <c r="G16" s="45">
        <f>F16/F22*100</f>
        <v>7.6136916767235094</v>
      </c>
      <c r="H16" s="11">
        <v>605980000</v>
      </c>
      <c r="I16" s="45">
        <f>H16/H22*100</f>
        <v>7.9105827907377551</v>
      </c>
      <c r="J16" s="11">
        <f t="shared" ref="J16:J21" si="0">H16-F16</f>
        <v>91680000</v>
      </c>
      <c r="K16" s="11">
        <v>600774044</v>
      </c>
      <c r="L16" s="45">
        <f>K16/K22*100</f>
        <v>7.94721171906638</v>
      </c>
      <c r="M16" s="11">
        <f t="shared" ref="M16:M27" si="1">H16-K16</f>
        <v>5205956</v>
      </c>
      <c r="N16" s="46">
        <f t="shared" ref="N16:N21" si="2">K16/H16*100</f>
        <v>99.140903000099016</v>
      </c>
    </row>
    <row r="17" spans="1:14">
      <c r="A17" s="70"/>
      <c r="B17" s="230" t="s">
        <v>38</v>
      </c>
      <c r="C17" s="27" t="s">
        <v>39</v>
      </c>
      <c r="D17" s="10">
        <v>1957084982.45</v>
      </c>
      <c r="E17" s="45">
        <f>D17/D22*100</f>
        <v>31.931556685120782</v>
      </c>
      <c r="F17" s="11">
        <v>2750686000</v>
      </c>
      <c r="G17" s="45">
        <f>F17/F22*100</f>
        <v>40.721126003266349</v>
      </c>
      <c r="H17" s="11">
        <v>3110504000</v>
      </c>
      <c r="I17" s="45">
        <f>H17/H22*100</f>
        <v>40.605134514209958</v>
      </c>
      <c r="J17" s="11">
        <f t="shared" si="0"/>
        <v>359818000</v>
      </c>
      <c r="K17" s="11">
        <v>3041395813</v>
      </c>
      <c r="L17" s="45">
        <f>K17/K22*100</f>
        <v>40.232457924552115</v>
      </c>
      <c r="M17" s="11">
        <f t="shared" si="1"/>
        <v>69108187</v>
      </c>
      <c r="N17" s="46">
        <f t="shared" si="2"/>
        <v>97.778231855673553</v>
      </c>
    </row>
    <row r="18" spans="1:14">
      <c r="A18" s="70"/>
      <c r="B18" s="230" t="s">
        <v>40</v>
      </c>
      <c r="C18" s="27" t="s">
        <v>41</v>
      </c>
      <c r="D18" s="10">
        <v>0</v>
      </c>
      <c r="E18" s="48">
        <f>D18/D22*100</f>
        <v>0</v>
      </c>
      <c r="F18" s="11">
        <v>0</v>
      </c>
      <c r="G18" s="48">
        <f>F18/F22*100</f>
        <v>0</v>
      </c>
      <c r="H18" s="11">
        <v>0</v>
      </c>
      <c r="I18" s="48">
        <f>H18/H22*100</f>
        <v>0</v>
      </c>
      <c r="J18" s="11">
        <f t="shared" si="0"/>
        <v>0</v>
      </c>
      <c r="K18" s="10"/>
      <c r="L18" s="48">
        <f>K18/K22*100</f>
        <v>0</v>
      </c>
      <c r="M18" s="11">
        <f t="shared" si="1"/>
        <v>0</v>
      </c>
      <c r="N18" s="49">
        <v>0</v>
      </c>
    </row>
    <row r="19" spans="1:14">
      <c r="A19" s="70"/>
      <c r="B19" s="230" t="s">
        <v>42</v>
      </c>
      <c r="C19" s="27" t="s">
        <v>43</v>
      </c>
      <c r="D19" s="10">
        <v>289176971</v>
      </c>
      <c r="E19" s="48">
        <f>D19/D22*100</f>
        <v>4.718175717621877</v>
      </c>
      <c r="F19" s="11">
        <v>0</v>
      </c>
      <c r="G19" s="48">
        <f>F19/F22*100</f>
        <v>0</v>
      </c>
      <c r="H19" s="11">
        <v>0</v>
      </c>
      <c r="I19" s="48">
        <f>H19/H22*100</f>
        <v>0</v>
      </c>
      <c r="J19" s="11">
        <f t="shared" si="0"/>
        <v>0</v>
      </c>
      <c r="K19" s="10"/>
      <c r="L19" s="48">
        <f>K19/K22*100</f>
        <v>0</v>
      </c>
      <c r="M19" s="11">
        <f t="shared" si="1"/>
        <v>0</v>
      </c>
      <c r="N19" s="49">
        <v>0</v>
      </c>
    </row>
    <row r="20" spans="1:14">
      <c r="A20" s="70"/>
      <c r="B20" s="230" t="s">
        <v>44</v>
      </c>
      <c r="C20" s="27" t="s">
        <v>45</v>
      </c>
      <c r="D20" s="10">
        <v>0</v>
      </c>
      <c r="E20" s="45">
        <f>D20/D22*100</f>
        <v>0</v>
      </c>
      <c r="F20" s="11">
        <v>0</v>
      </c>
      <c r="G20" s="45">
        <f>F20/F22*100</f>
        <v>0</v>
      </c>
      <c r="H20" s="11">
        <v>0</v>
      </c>
      <c r="I20" s="45">
        <f>H20/H22*100</f>
        <v>0</v>
      </c>
      <c r="J20" s="11">
        <f t="shared" si="0"/>
        <v>0</v>
      </c>
      <c r="K20" s="10">
        <v>0</v>
      </c>
      <c r="L20" s="45">
        <f>K20/K22*100</f>
        <v>0</v>
      </c>
      <c r="M20" s="11">
        <f t="shared" si="1"/>
        <v>0</v>
      </c>
      <c r="N20" s="46" t="e">
        <f t="shared" si="2"/>
        <v>#DIV/0!</v>
      </c>
    </row>
    <row r="21" spans="1:14">
      <c r="A21" s="70"/>
      <c r="B21" s="230" t="s">
        <v>46</v>
      </c>
      <c r="C21" s="27" t="s">
        <v>47</v>
      </c>
      <c r="D21" s="10">
        <v>299352577.50999999</v>
      </c>
      <c r="E21" s="45">
        <f>D21/D22*100</f>
        <v>4.8841996557713543</v>
      </c>
      <c r="F21" s="11">
        <v>301250000</v>
      </c>
      <c r="G21" s="45">
        <f>F21/F22*100</f>
        <v>4.4597017647539516</v>
      </c>
      <c r="H21" s="11">
        <v>288528999</v>
      </c>
      <c r="I21" s="45">
        <f>H21/H22*100</f>
        <v>3.7665146277405048</v>
      </c>
      <c r="J21" s="11">
        <f t="shared" si="0"/>
        <v>-12721001</v>
      </c>
      <c r="K21" s="10">
        <v>273641145</v>
      </c>
      <c r="L21" s="45">
        <f>K21/K22*100</f>
        <v>3.6198037116975419</v>
      </c>
      <c r="M21" s="11">
        <f t="shared" si="1"/>
        <v>14887854</v>
      </c>
      <c r="N21" s="46">
        <f t="shared" si="2"/>
        <v>94.840083994468785</v>
      </c>
    </row>
    <row r="22" spans="1:14">
      <c r="A22" s="70"/>
      <c r="B22" s="28"/>
      <c r="C22" s="29" t="s">
        <v>121</v>
      </c>
      <c r="D22" s="35">
        <f t="shared" ref="D22:M22" si="3">SUM(D15:D21)</f>
        <v>6128999602.96</v>
      </c>
      <c r="E22" s="12">
        <f t="shared" si="3"/>
        <v>100</v>
      </c>
      <c r="F22" s="35">
        <f t="shared" si="3"/>
        <v>6754936000</v>
      </c>
      <c r="G22" s="12">
        <f t="shared" si="3"/>
        <v>100</v>
      </c>
      <c r="H22" s="35">
        <f t="shared" si="3"/>
        <v>7660371126</v>
      </c>
      <c r="I22" s="12">
        <f t="shared" si="3"/>
        <v>100</v>
      </c>
      <c r="J22" s="13">
        <f t="shared" si="3"/>
        <v>905435126</v>
      </c>
      <c r="K22" s="35">
        <f t="shared" si="3"/>
        <v>7559557556</v>
      </c>
      <c r="L22" s="12">
        <f t="shared" si="3"/>
        <v>100.00000000000001</v>
      </c>
      <c r="M22" s="35">
        <f t="shared" si="3"/>
        <v>100813570</v>
      </c>
      <c r="N22" s="1">
        <f>K22/H22*100</f>
        <v>98.68395971498262</v>
      </c>
    </row>
    <row r="23" spans="1:14">
      <c r="A23" s="70"/>
      <c r="B23" s="230" t="s">
        <v>49</v>
      </c>
      <c r="C23" s="27" t="s">
        <v>50</v>
      </c>
      <c r="D23" s="262">
        <v>48599047</v>
      </c>
      <c r="E23" s="11">
        <v>0</v>
      </c>
      <c r="F23" s="263">
        <v>12204000</v>
      </c>
      <c r="G23" s="11">
        <v>0</v>
      </c>
      <c r="H23" s="264">
        <v>136837000</v>
      </c>
      <c r="I23" s="11">
        <v>0</v>
      </c>
      <c r="J23" s="11">
        <f t="shared" ref="J23:J24" si="4">H23-F23</f>
        <v>124633000</v>
      </c>
      <c r="K23" s="264">
        <v>126768608.73</v>
      </c>
      <c r="L23" s="11">
        <v>0</v>
      </c>
      <c r="M23" s="11">
        <f t="shared" si="1"/>
        <v>10068391.269999996</v>
      </c>
      <c r="N23" s="265"/>
    </row>
    <row r="24" spans="1:14">
      <c r="A24" s="70"/>
      <c r="B24" s="230" t="s">
        <v>51</v>
      </c>
      <c r="C24" s="27" t="s">
        <v>52</v>
      </c>
      <c r="D24" s="262">
        <v>590201167</v>
      </c>
      <c r="E24" s="11">
        <v>0</v>
      </c>
      <c r="F24" s="262">
        <v>1546296000</v>
      </c>
      <c r="G24" s="11">
        <v>0</v>
      </c>
      <c r="H24" s="266">
        <v>2181018000</v>
      </c>
      <c r="I24" s="11">
        <v>0</v>
      </c>
      <c r="J24" s="11">
        <f t="shared" si="4"/>
        <v>634722000</v>
      </c>
      <c r="K24" s="267">
        <v>1943202550</v>
      </c>
      <c r="L24" s="11">
        <v>0</v>
      </c>
      <c r="M24" s="11">
        <f t="shared" si="1"/>
        <v>237815450</v>
      </c>
      <c r="N24" s="265">
        <f>K24/H24*100</f>
        <v>89.096126212621812</v>
      </c>
    </row>
    <row r="25" spans="1:14">
      <c r="A25" s="70"/>
      <c r="B25" s="28"/>
      <c r="C25" s="29" t="s">
        <v>122</v>
      </c>
      <c r="D25" s="35">
        <f>D23+D24</f>
        <v>638800214</v>
      </c>
      <c r="E25" s="13">
        <v>0</v>
      </c>
      <c r="F25" s="35">
        <f>F23+F24</f>
        <v>1558500000</v>
      </c>
      <c r="G25" s="13">
        <v>0</v>
      </c>
      <c r="H25" s="35">
        <f>H23+H24</f>
        <v>2317855000</v>
      </c>
      <c r="I25" s="13">
        <v>0</v>
      </c>
      <c r="J25" s="13">
        <f>SUM(J23:J24)</f>
        <v>759355000</v>
      </c>
      <c r="K25" s="35">
        <f>K23+K24</f>
        <v>2069971158.73</v>
      </c>
      <c r="L25" s="13">
        <v>0</v>
      </c>
      <c r="M25" s="268">
        <f>SUM(M23:M24)</f>
        <v>247883841.26999998</v>
      </c>
      <c r="N25" s="1">
        <f>K25/H25*100</f>
        <v>89.305463833156082</v>
      </c>
    </row>
    <row r="26" spans="1:14">
      <c r="A26" s="70"/>
      <c r="B26" s="230" t="s">
        <v>49</v>
      </c>
      <c r="C26" s="27" t="s">
        <v>50</v>
      </c>
      <c r="D26" s="10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f t="shared" ref="J26:J27" si="5">H26-F26</f>
        <v>0</v>
      </c>
      <c r="K26" s="10"/>
      <c r="L26" s="11">
        <v>0</v>
      </c>
      <c r="M26" s="11">
        <f t="shared" si="1"/>
        <v>0</v>
      </c>
      <c r="N26" s="265"/>
    </row>
    <row r="27" spans="1:14">
      <c r="A27" s="70"/>
      <c r="B27" s="230" t="s">
        <v>51</v>
      </c>
      <c r="C27" s="27" t="s">
        <v>52</v>
      </c>
      <c r="D27" s="10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f t="shared" si="5"/>
        <v>0</v>
      </c>
      <c r="K27" s="10"/>
      <c r="L27" s="11">
        <v>0</v>
      </c>
      <c r="M27" s="11">
        <f t="shared" si="1"/>
        <v>0</v>
      </c>
      <c r="N27" s="265"/>
    </row>
    <row r="28" spans="1:14">
      <c r="A28" s="70"/>
      <c r="B28" s="28"/>
      <c r="C28" s="29" t="s">
        <v>123</v>
      </c>
      <c r="D28" s="12">
        <v>0</v>
      </c>
      <c r="E28" s="13">
        <v>0</v>
      </c>
      <c r="F28" s="13">
        <v>0</v>
      </c>
      <c r="G28" s="13">
        <v>0</v>
      </c>
      <c r="H28" s="13">
        <f>SUM(H26:H27)</f>
        <v>0</v>
      </c>
      <c r="I28" s="13">
        <v>0</v>
      </c>
      <c r="J28" s="13">
        <f>SUM(J26:J27)</f>
        <v>0</v>
      </c>
      <c r="K28" s="13">
        <f>SUM(K26:K27)</f>
        <v>0</v>
      </c>
      <c r="L28" s="13">
        <v>0</v>
      </c>
      <c r="M28" s="13">
        <f>SUM(M26:M27)</f>
        <v>0</v>
      </c>
      <c r="N28" s="1">
        <v>0</v>
      </c>
    </row>
    <row r="29" spans="1:14">
      <c r="A29" s="70"/>
      <c r="B29" s="30"/>
      <c r="C29" s="31" t="s">
        <v>124</v>
      </c>
      <c r="D29" s="269">
        <f>D25</f>
        <v>638800214</v>
      </c>
      <c r="E29" s="269">
        <f t="shared" ref="E29:N29" si="6">E25</f>
        <v>0</v>
      </c>
      <c r="F29" s="269">
        <f t="shared" si="6"/>
        <v>1558500000</v>
      </c>
      <c r="G29" s="269">
        <f t="shared" si="6"/>
        <v>0</v>
      </c>
      <c r="H29" s="269">
        <f t="shared" si="6"/>
        <v>2317855000</v>
      </c>
      <c r="I29" s="269">
        <f t="shared" si="6"/>
        <v>0</v>
      </c>
      <c r="J29" s="269">
        <f t="shared" si="6"/>
        <v>759355000</v>
      </c>
      <c r="K29" s="269">
        <f t="shared" si="6"/>
        <v>2069971158.73</v>
      </c>
      <c r="L29" s="269">
        <f t="shared" si="6"/>
        <v>0</v>
      </c>
      <c r="M29" s="269">
        <f t="shared" si="6"/>
        <v>247883841.26999998</v>
      </c>
      <c r="N29" s="269">
        <f t="shared" si="6"/>
        <v>89.305463833156082</v>
      </c>
    </row>
    <row r="30" spans="1:14">
      <c r="A30" s="70"/>
      <c r="B30" s="30"/>
      <c r="C30" s="31" t="s">
        <v>125</v>
      </c>
      <c r="D30" s="35">
        <f>D22+D25</f>
        <v>6767799816.96</v>
      </c>
      <c r="E30" s="35">
        <f t="shared" ref="E30:M30" si="7">E22+E25</f>
        <v>100</v>
      </c>
      <c r="F30" s="35">
        <f t="shared" si="7"/>
        <v>8313436000</v>
      </c>
      <c r="G30" s="35">
        <f t="shared" si="7"/>
        <v>100</v>
      </c>
      <c r="H30" s="35">
        <f t="shared" si="7"/>
        <v>9978226126</v>
      </c>
      <c r="I30" s="35">
        <f t="shared" si="7"/>
        <v>100</v>
      </c>
      <c r="J30" s="35">
        <f t="shared" si="7"/>
        <v>1664790126</v>
      </c>
      <c r="K30" s="35">
        <f t="shared" si="7"/>
        <v>9629528714.7299995</v>
      </c>
      <c r="L30" s="35">
        <f t="shared" si="7"/>
        <v>100.00000000000001</v>
      </c>
      <c r="M30" s="35">
        <f t="shared" si="7"/>
        <v>348697411.26999998</v>
      </c>
      <c r="N30" s="268">
        <f>K30/H30*100</f>
        <v>96.505416825928521</v>
      </c>
    </row>
    <row r="31" spans="1:14">
      <c r="A31" s="70"/>
      <c r="B31" s="28"/>
      <c r="C31" s="29" t="s">
        <v>126</v>
      </c>
      <c r="D31" s="12">
        <v>0</v>
      </c>
      <c r="E31" s="13"/>
      <c r="F31" s="13"/>
      <c r="G31" s="13"/>
      <c r="H31" s="13"/>
      <c r="I31" s="13"/>
      <c r="J31" s="13"/>
      <c r="K31" s="12">
        <v>0</v>
      </c>
      <c r="L31" s="13"/>
      <c r="M31" s="13"/>
      <c r="N31" s="1"/>
    </row>
    <row r="32" spans="1:14">
      <c r="A32" s="70"/>
      <c r="B32" s="28"/>
      <c r="C32" s="29" t="s">
        <v>127</v>
      </c>
      <c r="D32" s="12">
        <v>13467</v>
      </c>
      <c r="E32" s="13"/>
      <c r="F32" s="13"/>
      <c r="G32" s="13"/>
      <c r="H32" s="13"/>
      <c r="I32" s="13"/>
      <c r="J32" s="13"/>
      <c r="K32" s="12">
        <v>0</v>
      </c>
      <c r="L32" s="13"/>
      <c r="M32" s="13"/>
      <c r="N32" s="1"/>
    </row>
    <row r="33" spans="1:14" ht="12" thickBot="1">
      <c r="A33" s="70"/>
      <c r="B33" s="30"/>
      <c r="C33" s="31" t="s">
        <v>128</v>
      </c>
      <c r="D33" s="270">
        <f>D30</f>
        <v>6767799816.96</v>
      </c>
      <c r="E33" s="270">
        <f t="shared" ref="E33:N33" si="8">E30</f>
        <v>100</v>
      </c>
      <c r="F33" s="270">
        <f t="shared" si="8"/>
        <v>8313436000</v>
      </c>
      <c r="G33" s="270">
        <f t="shared" si="8"/>
        <v>100</v>
      </c>
      <c r="H33" s="270">
        <f t="shared" si="8"/>
        <v>9978226126</v>
      </c>
      <c r="I33" s="270">
        <f t="shared" si="8"/>
        <v>100</v>
      </c>
      <c r="J33" s="270">
        <f t="shared" si="8"/>
        <v>1664790126</v>
      </c>
      <c r="K33" s="270">
        <f t="shared" si="8"/>
        <v>9629528714.7299995</v>
      </c>
      <c r="L33" s="270">
        <f t="shared" si="8"/>
        <v>100.00000000000001</v>
      </c>
      <c r="M33" s="270">
        <f t="shared" si="8"/>
        <v>348697411.26999998</v>
      </c>
      <c r="N33" s="270">
        <f t="shared" si="8"/>
        <v>96.505416825928521</v>
      </c>
    </row>
    <row r="34" spans="1:14" ht="15.75" customHeight="1" thickTop="1">
      <c r="A34" s="70"/>
      <c r="B34" s="1122" t="s">
        <v>129</v>
      </c>
      <c r="C34" s="1122"/>
      <c r="D34" s="254"/>
      <c r="E34" s="40"/>
      <c r="F34" s="254"/>
      <c r="G34" s="40"/>
      <c r="H34" s="254"/>
      <c r="I34" s="40"/>
      <c r="J34" s="255"/>
      <c r="K34" s="254"/>
      <c r="L34" s="40"/>
      <c r="M34" s="254"/>
      <c r="N34" s="271"/>
    </row>
    <row r="35" spans="1:14">
      <c r="A35" s="70"/>
      <c r="B35" s="261" t="s">
        <v>33</v>
      </c>
      <c r="C35" s="252" t="s">
        <v>26</v>
      </c>
      <c r="D35" s="250"/>
      <c r="E35" s="39"/>
      <c r="F35" s="250"/>
      <c r="G35" s="39"/>
      <c r="H35" s="250"/>
      <c r="I35" s="39"/>
      <c r="J35" s="253"/>
      <c r="K35" s="250"/>
      <c r="L35" s="39"/>
      <c r="M35" s="250"/>
      <c r="N35" s="260"/>
    </row>
    <row r="36" spans="1:14" ht="15" customHeight="1">
      <c r="A36" s="70"/>
      <c r="B36" s="230"/>
      <c r="C36" s="33" t="s">
        <v>130</v>
      </c>
      <c r="D36" s="270">
        <f>D22</f>
        <v>6128999602.96</v>
      </c>
      <c r="E36" s="270">
        <f t="shared" ref="E36:N36" si="9">E22</f>
        <v>100</v>
      </c>
      <c r="F36" s="270">
        <f t="shared" si="9"/>
        <v>6754936000</v>
      </c>
      <c r="G36" s="270">
        <f t="shared" si="9"/>
        <v>100</v>
      </c>
      <c r="H36" s="270">
        <f t="shared" si="9"/>
        <v>7660371126</v>
      </c>
      <c r="I36" s="270">
        <f t="shared" si="9"/>
        <v>100</v>
      </c>
      <c r="J36" s="270">
        <f t="shared" si="9"/>
        <v>905435126</v>
      </c>
      <c r="K36" s="270">
        <f>K22</f>
        <v>7559557556</v>
      </c>
      <c r="L36" s="270">
        <f t="shared" si="9"/>
        <v>100.00000000000001</v>
      </c>
      <c r="M36" s="270">
        <f t="shared" si="9"/>
        <v>100813570</v>
      </c>
      <c r="N36" s="270">
        <f t="shared" si="9"/>
        <v>98.68395971498262</v>
      </c>
    </row>
    <row r="37" spans="1:14" ht="15" customHeight="1">
      <c r="A37" s="70"/>
      <c r="B37" s="230" t="s">
        <v>131</v>
      </c>
      <c r="C37" s="14" t="s">
        <v>132</v>
      </c>
      <c r="D37" s="10"/>
      <c r="E37" s="11"/>
      <c r="F37" s="11"/>
      <c r="G37" s="11"/>
      <c r="H37" s="11"/>
      <c r="I37" s="11"/>
      <c r="J37" s="11"/>
      <c r="K37" s="10"/>
      <c r="L37" s="11"/>
      <c r="M37" s="11"/>
      <c r="N37" s="265"/>
    </row>
    <row r="38" spans="1:14" ht="15" customHeight="1">
      <c r="A38" s="70"/>
      <c r="B38" s="230"/>
      <c r="C38" s="14"/>
      <c r="D38" s="32"/>
      <c r="E38" s="32">
        <f t="shared" ref="E38:L38" si="10">E24</f>
        <v>0</v>
      </c>
      <c r="F38" s="32"/>
      <c r="G38" s="32">
        <f t="shared" si="10"/>
        <v>0</v>
      </c>
      <c r="H38" s="32"/>
      <c r="I38" s="32">
        <f t="shared" si="10"/>
        <v>0</v>
      </c>
      <c r="J38" s="32"/>
      <c r="K38" s="32"/>
      <c r="L38" s="32">
        <f t="shared" si="10"/>
        <v>0</v>
      </c>
      <c r="M38" s="32"/>
      <c r="N38" s="32"/>
    </row>
    <row r="39" spans="1:14" ht="15" customHeight="1">
      <c r="A39" s="70"/>
      <c r="B39" s="230"/>
      <c r="C39" s="33" t="s">
        <v>133</v>
      </c>
      <c r="D39" s="270">
        <f>D25</f>
        <v>638800214</v>
      </c>
      <c r="E39" s="270">
        <f t="shared" ref="E39:N39" si="11">E25</f>
        <v>0</v>
      </c>
      <c r="F39" s="270">
        <f t="shared" si="11"/>
        <v>1558500000</v>
      </c>
      <c r="G39" s="270">
        <f t="shared" si="11"/>
        <v>0</v>
      </c>
      <c r="H39" s="270">
        <f t="shared" si="11"/>
        <v>2317855000</v>
      </c>
      <c r="I39" s="270">
        <f t="shared" si="11"/>
        <v>0</v>
      </c>
      <c r="J39" s="270">
        <f t="shared" si="11"/>
        <v>759355000</v>
      </c>
      <c r="K39" s="270">
        <f t="shared" si="11"/>
        <v>2069971158.73</v>
      </c>
      <c r="L39" s="270">
        <f t="shared" si="11"/>
        <v>0</v>
      </c>
      <c r="M39" s="270">
        <f t="shared" si="11"/>
        <v>247883841.26999998</v>
      </c>
      <c r="N39" s="270">
        <f t="shared" si="11"/>
        <v>89.305463833156082</v>
      </c>
    </row>
    <row r="40" spans="1:14" ht="15" customHeight="1">
      <c r="A40" s="70"/>
      <c r="B40" s="230" t="s">
        <v>131</v>
      </c>
      <c r="C40" s="14" t="s">
        <v>132</v>
      </c>
      <c r="D40" s="10"/>
      <c r="E40" s="11"/>
      <c r="F40" s="11"/>
      <c r="G40" s="11"/>
      <c r="H40" s="11"/>
      <c r="I40" s="11"/>
      <c r="J40" s="11"/>
      <c r="K40" s="10"/>
      <c r="L40" s="11"/>
      <c r="M40" s="11"/>
      <c r="N40" s="265"/>
    </row>
    <row r="41" spans="1:14" ht="15" customHeight="1">
      <c r="A41" s="70"/>
      <c r="B41" s="230"/>
      <c r="C41" s="14"/>
      <c r="D41" s="10"/>
      <c r="E41" s="11"/>
      <c r="F41" s="11"/>
      <c r="G41" s="11"/>
      <c r="H41" s="11"/>
      <c r="I41" s="11"/>
      <c r="J41" s="11"/>
      <c r="K41" s="10"/>
      <c r="L41" s="11">
        <v>0</v>
      </c>
      <c r="M41" s="11">
        <f>H41-K41</f>
        <v>0</v>
      </c>
      <c r="N41" s="265" t="e">
        <f>K41/H41*100</f>
        <v>#DIV/0!</v>
      </c>
    </row>
    <row r="42" spans="1:14" ht="15" customHeight="1">
      <c r="A42" s="70"/>
      <c r="B42" s="230"/>
      <c r="C42" s="14"/>
      <c r="D42" s="10"/>
      <c r="E42" s="11"/>
      <c r="F42" s="11"/>
      <c r="G42" s="11"/>
      <c r="H42" s="11"/>
      <c r="I42" s="11"/>
      <c r="J42" s="11"/>
      <c r="K42" s="10"/>
      <c r="L42" s="11">
        <v>0</v>
      </c>
      <c r="M42" s="11">
        <f t="shared" ref="M42:M43" si="12">H42-K42</f>
        <v>0</v>
      </c>
      <c r="N42" s="265" t="e">
        <f>K42/H42*100</f>
        <v>#DIV/0!</v>
      </c>
    </row>
    <row r="43" spans="1:14" ht="15" customHeight="1">
      <c r="A43" s="70"/>
      <c r="B43" s="230"/>
      <c r="C43" s="14"/>
      <c r="D43" s="10"/>
      <c r="E43" s="11"/>
      <c r="F43" s="11"/>
      <c r="G43" s="11"/>
      <c r="H43" s="11"/>
      <c r="I43" s="11"/>
      <c r="J43" s="11"/>
      <c r="K43" s="10"/>
      <c r="L43" s="11">
        <v>0</v>
      </c>
      <c r="M43" s="11">
        <f t="shared" si="12"/>
        <v>0</v>
      </c>
      <c r="N43" s="265">
        <v>0</v>
      </c>
    </row>
    <row r="44" spans="1:14" ht="15" customHeight="1">
      <c r="A44" s="70"/>
      <c r="B44" s="230"/>
      <c r="C44" s="15" t="s">
        <v>122</v>
      </c>
      <c r="D44" s="12">
        <f>D39</f>
        <v>638800214</v>
      </c>
      <c r="E44" s="12">
        <f t="shared" ref="E44:N44" si="13">E39</f>
        <v>0</v>
      </c>
      <c r="F44" s="12">
        <f t="shared" si="13"/>
        <v>1558500000</v>
      </c>
      <c r="G44" s="12">
        <f t="shared" si="13"/>
        <v>0</v>
      </c>
      <c r="H44" s="12">
        <f t="shared" si="13"/>
        <v>2317855000</v>
      </c>
      <c r="I44" s="12">
        <f t="shared" si="13"/>
        <v>0</v>
      </c>
      <c r="J44" s="12">
        <f t="shared" si="13"/>
        <v>759355000</v>
      </c>
      <c r="K44" s="12">
        <f t="shared" si="13"/>
        <v>2069971158.73</v>
      </c>
      <c r="L44" s="12">
        <f t="shared" si="13"/>
        <v>0</v>
      </c>
      <c r="M44" s="12">
        <f t="shared" si="13"/>
        <v>247883841.26999998</v>
      </c>
      <c r="N44" s="12">
        <f t="shared" si="13"/>
        <v>89.305463833156082</v>
      </c>
    </row>
    <row r="45" spans="1:14" ht="15" customHeight="1">
      <c r="A45" s="70"/>
      <c r="B45" s="230" t="s">
        <v>131</v>
      </c>
      <c r="C45" s="14" t="s">
        <v>132</v>
      </c>
      <c r="D45" s="10"/>
      <c r="E45" s="11"/>
      <c r="F45" s="11"/>
      <c r="G45" s="11"/>
      <c r="H45" s="11"/>
      <c r="I45" s="11"/>
      <c r="J45" s="11"/>
      <c r="K45" s="10"/>
      <c r="L45" s="11"/>
      <c r="M45" s="11"/>
      <c r="N45" s="265" t="e">
        <f>K45/H45*100</f>
        <v>#DIV/0!</v>
      </c>
    </row>
    <row r="46" spans="1:14" ht="15" customHeight="1">
      <c r="A46" s="70"/>
      <c r="B46" s="230"/>
      <c r="C46" s="15" t="s">
        <v>123</v>
      </c>
      <c r="D46" s="12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2">
        <v>0</v>
      </c>
      <c r="L46" s="13">
        <v>0</v>
      </c>
      <c r="M46" s="13">
        <v>0</v>
      </c>
      <c r="N46" s="265" t="e">
        <f t="shared" ref="N46:N49" si="14">K46/H46*100</f>
        <v>#DIV/0!</v>
      </c>
    </row>
    <row r="47" spans="1:14" ht="15" customHeight="1">
      <c r="A47" s="70"/>
      <c r="B47" s="230" t="s">
        <v>131</v>
      </c>
      <c r="C47" s="14" t="s">
        <v>132</v>
      </c>
      <c r="D47" s="10"/>
      <c r="E47" s="11"/>
      <c r="F47" s="11"/>
      <c r="G47" s="11"/>
      <c r="H47" s="11"/>
      <c r="I47" s="11"/>
      <c r="J47" s="11"/>
      <c r="K47" s="10"/>
      <c r="L47" s="11"/>
      <c r="M47" s="11"/>
      <c r="N47" s="265" t="e">
        <f t="shared" si="14"/>
        <v>#DIV/0!</v>
      </c>
    </row>
    <row r="48" spans="1:14" ht="15" customHeight="1">
      <c r="A48" s="70"/>
      <c r="B48" s="230" t="s">
        <v>131</v>
      </c>
      <c r="C48" s="14" t="s">
        <v>132</v>
      </c>
      <c r="D48" s="10"/>
      <c r="E48" s="11"/>
      <c r="F48" s="11"/>
      <c r="G48" s="11"/>
      <c r="H48" s="11"/>
      <c r="I48" s="11"/>
      <c r="J48" s="11"/>
      <c r="K48" s="10"/>
      <c r="L48" s="11"/>
      <c r="M48" s="11"/>
      <c r="N48" s="265" t="e">
        <f t="shared" si="14"/>
        <v>#DIV/0!</v>
      </c>
    </row>
    <row r="49" spans="1:14" ht="15" customHeight="1" thickBot="1">
      <c r="A49" s="70"/>
      <c r="B49" s="230"/>
      <c r="C49" s="34" t="s">
        <v>128</v>
      </c>
      <c r="D49" s="35">
        <f>D22+D25</f>
        <v>6767799816.96</v>
      </c>
      <c r="E49" s="35">
        <f t="shared" ref="E49:M49" si="15">E22+E25</f>
        <v>100</v>
      </c>
      <c r="F49" s="35">
        <f t="shared" si="15"/>
        <v>8313436000</v>
      </c>
      <c r="G49" s="35">
        <f t="shared" si="15"/>
        <v>100</v>
      </c>
      <c r="H49" s="35">
        <f t="shared" si="15"/>
        <v>9978226126</v>
      </c>
      <c r="I49" s="35">
        <f t="shared" si="15"/>
        <v>100</v>
      </c>
      <c r="J49" s="35">
        <f t="shared" si="15"/>
        <v>1664790126</v>
      </c>
      <c r="K49" s="35">
        <f t="shared" si="15"/>
        <v>9629528714.7299995</v>
      </c>
      <c r="L49" s="35">
        <f t="shared" si="15"/>
        <v>100.00000000000001</v>
      </c>
      <c r="M49" s="35">
        <f t="shared" si="15"/>
        <v>348697411.26999998</v>
      </c>
      <c r="N49" s="265">
        <f t="shared" si="14"/>
        <v>96.505416825928521</v>
      </c>
    </row>
    <row r="50" spans="1:14" ht="12" thickTop="1">
      <c r="A50" s="70"/>
      <c r="B50" s="1123"/>
      <c r="C50" s="1123"/>
      <c r="D50" s="1123"/>
      <c r="E50" s="1123"/>
      <c r="F50" s="1123"/>
      <c r="G50" s="1123"/>
      <c r="H50" s="1123"/>
      <c r="I50" s="1123"/>
      <c r="J50" s="1123"/>
      <c r="K50" s="1123"/>
      <c r="L50" s="1123"/>
      <c r="M50" s="1123"/>
      <c r="N50" s="1123"/>
    </row>
    <row r="51" spans="1:14">
      <c r="A51" s="70"/>
      <c r="B51" s="257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</row>
    <row r="52" spans="1:14" ht="24.75" customHeight="1">
      <c r="A52" s="124"/>
      <c r="B52" s="1120" t="s">
        <v>134</v>
      </c>
      <c r="C52" s="16" t="s">
        <v>573</v>
      </c>
      <c r="D52" s="1124" t="s">
        <v>58</v>
      </c>
      <c r="E52" s="1124"/>
      <c r="F52" s="229" t="s">
        <v>59</v>
      </c>
      <c r="G52" s="1125"/>
      <c r="H52" s="1126"/>
      <c r="I52" s="1126"/>
      <c r="J52" s="1126"/>
      <c r="K52" s="1126"/>
      <c r="L52" s="1126"/>
      <c r="M52" s="1127"/>
      <c r="N52" s="249"/>
    </row>
    <row r="53" spans="1:14" ht="21" customHeight="1">
      <c r="A53" s="124"/>
      <c r="B53" s="1120"/>
      <c r="C53" s="229" t="s">
        <v>178</v>
      </c>
      <c r="D53" s="1124"/>
      <c r="E53" s="1124"/>
      <c r="F53" s="229" t="s">
        <v>60</v>
      </c>
      <c r="G53" s="1128"/>
      <c r="H53" s="1129"/>
      <c r="I53" s="1129"/>
      <c r="J53" s="1129"/>
      <c r="K53" s="1129"/>
      <c r="L53" s="1129"/>
      <c r="M53" s="1130"/>
      <c r="N53" s="249"/>
    </row>
    <row r="54" spans="1:14" ht="22.5" customHeight="1">
      <c r="A54" s="124"/>
      <c r="B54" s="1120"/>
      <c r="C54" s="229" t="s">
        <v>179</v>
      </c>
      <c r="D54" s="1124"/>
      <c r="E54" s="1124"/>
      <c r="F54" s="229" t="s">
        <v>61</v>
      </c>
      <c r="G54" s="1128"/>
      <c r="H54" s="1129"/>
      <c r="I54" s="1129"/>
      <c r="J54" s="1129"/>
      <c r="K54" s="1129"/>
      <c r="L54" s="1129"/>
      <c r="M54" s="1130"/>
      <c r="N54" s="249"/>
    </row>
  </sheetData>
  <mergeCells count="26">
    <mergeCell ref="B2:N2"/>
    <mergeCell ref="B3:N3"/>
    <mergeCell ref="B4:N4"/>
    <mergeCell ref="B6:B7"/>
    <mergeCell ref="C6:E7"/>
    <mergeCell ref="F6:G7"/>
    <mergeCell ref="H6:N7"/>
    <mergeCell ref="A5:A6"/>
    <mergeCell ref="C8:E8"/>
    <mergeCell ref="F8:G8"/>
    <mergeCell ref="H8:N8"/>
    <mergeCell ref="B9:C12"/>
    <mergeCell ref="D9:N9"/>
    <mergeCell ref="F10:G10"/>
    <mergeCell ref="N10:N11"/>
    <mergeCell ref="H10:I10"/>
    <mergeCell ref="K10:L10"/>
    <mergeCell ref="M10:M11"/>
    <mergeCell ref="B52:B54"/>
    <mergeCell ref="B13:C13"/>
    <mergeCell ref="B34:C34"/>
    <mergeCell ref="B50:N50"/>
    <mergeCell ref="D52:E54"/>
    <mergeCell ref="G52:M52"/>
    <mergeCell ref="G53:M53"/>
    <mergeCell ref="G54:M54"/>
  </mergeCells>
  <pageMargins left="0.17" right="0.17" top="0.35" bottom="0.23" header="0.32" footer="0.17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Sheet3</vt:lpstr>
      <vt:lpstr>Sheet2</vt:lpstr>
      <vt:lpstr>Aneksi 1.2</vt:lpstr>
      <vt:lpstr>Aneksi nr.1</vt:lpstr>
      <vt:lpstr>Aneksi nr.1.1</vt:lpstr>
      <vt:lpstr>Sheet4</vt:lpstr>
      <vt:lpstr>Aneksi 2.0 Planif</vt:lpstr>
      <vt:lpstr>Aneksi 2.0 Forcat e Luftimit</vt:lpstr>
      <vt:lpstr>123</vt:lpstr>
      <vt:lpstr>Aneksi 2.0 MBSHT.LUFTIMIT</vt:lpstr>
      <vt:lpstr>Aneksi 2.0 Mbësht .Shëndetësinë</vt:lpstr>
      <vt:lpstr>Aneksi 2.0 Arsimi Ushtarak</vt:lpstr>
      <vt:lpstr>Aneksi 2.0 Mbeshtet. Ushtaraket</vt:lpstr>
      <vt:lpstr>Aneksi 2.0 Emergjencat Civile</vt:lpstr>
      <vt:lpstr>Aneksi 2.1 Planif</vt:lpstr>
      <vt:lpstr>Aneksi 2.1 Forcat e Luftimit</vt:lpstr>
      <vt:lpstr>Aneksi 2.1 MBSHT.LUFTIMIT</vt:lpstr>
      <vt:lpstr>Aneksi 2.1 Mbësht .Shëndetësinë</vt:lpstr>
      <vt:lpstr>Aneksi 2.1 Arsimi Ushtarak</vt:lpstr>
      <vt:lpstr>Aneksi 2.1 Mbeshtet. Ushtaraket</vt:lpstr>
      <vt:lpstr>Aneksi 2.1 Emergjencat Civile</vt:lpstr>
      <vt:lpstr>Aneksi 3 Planif</vt:lpstr>
      <vt:lpstr>Aneksi 3 Forcat e Luftimit</vt:lpstr>
      <vt:lpstr>Aneksi 3 MBSHT.LUFTIMIT</vt:lpstr>
      <vt:lpstr>Aneksi 3 Mbeshtet. Shendetesine</vt:lpstr>
      <vt:lpstr>Aneksi 3 Arsimimi Ushtarak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2023-09-20T08:17:28Z</dcterms:created>
  <dcterms:modified xsi:type="dcterms:W3CDTF">2026-04-27T14:36:53Z</dcterms:modified>
</cp:coreProperties>
</file>